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Скиба\Скиба\Моя\"/>
    </mc:Choice>
  </mc:AlternateContent>
  <bookViews>
    <workbookView xWindow="0" yWindow="0" windowWidth="28596" windowHeight="6696"/>
  </bookViews>
  <sheets>
    <sheet name="Доходы (продажи)" sheetId="2" r:id="rId1"/>
    <sheet name="ИсхД" sheetId="5" r:id="rId2"/>
    <sheet name="Себестоимость продаж" sheetId="3" r:id="rId3"/>
    <sheet name="Расходы" sheetId="4" r:id="rId4"/>
  </sheets>
  <definedNames>
    <definedName name="FYMonthNo">IF(FYMonthStart="ЯНВ",1,IF(FYMonthStart="ФЕВ",2,IF(FYMonthStart="МАР",3,IF(FYMonthStart="АПР",4,IF(FYMonthStart="МАЙ",5,IF(FYMonthStart="ИЮН",6,IF(FYMonthStart="ИЮЛ",7,IF(FYMonthStart="АВГ",8,IF(FYMonthStart="СЕН",9,IF(FYMonthStart="ОКТ",10,IF(FYMonthStart="НОЯ",11,12)))))))))))</definedName>
    <definedName name="FYMonthStart">'Доходы (продажи)'!$AC$2</definedName>
    <definedName name="FYStartYear">'Доходы (продажи)'!$AD$2</definedName>
    <definedName name="Projection_Period_Title">'Доходы (продажи)'!$B$1</definedName>
    <definedName name="Wksht_Title">'Доходы (продажи)'!$B$2</definedName>
    <definedName name="_xlnm.Print_Titles" localSheetId="0">'Доходы (продажи)'!$3:$4</definedName>
    <definedName name="_xlnm.Print_Titles" localSheetId="3">Расходы!$3:$4</definedName>
    <definedName name="_xlnm.Print_Titles" localSheetId="2">'Себестоимость продаж'!$3:$4</definedName>
    <definedName name="Заголовок1">Доходы[[#Headers],[ДОХОДЫ (ПРОДАЖИ)]]</definedName>
    <definedName name="Заголовок2">Себестоимость_продаж[[#Headers],[СЕБЕСТОИМОСТЬ ПРОДАЖ]]</definedName>
    <definedName name="Заголовок3">tblExpenses[[#Headers],[РАСХОДЫ]]</definedName>
    <definedName name="Название_организации">'Доходы (продажи)'!$AD$1</definedName>
  </definedNames>
  <calcPr calcId="162913"/>
</workbook>
</file>

<file path=xl/calcChain.xml><?xml version="1.0" encoding="utf-8"?>
<calcChain xmlns="http://schemas.openxmlformats.org/spreadsheetml/2006/main">
  <c r="E9" i="3" l="1"/>
  <c r="F9" i="3"/>
  <c r="G9" i="3"/>
  <c r="H9" i="3"/>
  <c r="I9" i="3"/>
  <c r="J9" i="3"/>
  <c r="D9" i="3"/>
  <c r="E8" i="3"/>
  <c r="F8" i="3"/>
  <c r="G8" i="3"/>
  <c r="H8" i="3"/>
  <c r="I8" i="3"/>
  <c r="J8" i="3"/>
  <c r="D8" i="3"/>
  <c r="E7" i="3"/>
  <c r="F7" i="3"/>
  <c r="G7" i="3"/>
  <c r="H7" i="3"/>
  <c r="I7" i="3"/>
  <c r="J7" i="3"/>
  <c r="D7" i="3"/>
  <c r="E6" i="3"/>
  <c r="F6" i="3"/>
  <c r="G6" i="3"/>
  <c r="H6" i="3"/>
  <c r="I6" i="3"/>
  <c r="J6" i="3"/>
  <c r="D6" i="3"/>
  <c r="E5" i="3"/>
  <c r="F5" i="3"/>
  <c r="G5" i="3"/>
  <c r="H5" i="3"/>
  <c r="I5" i="3"/>
  <c r="J5" i="3"/>
  <c r="D5" i="3"/>
  <c r="K18" i="5"/>
  <c r="G18" i="5"/>
  <c r="P9" i="3"/>
  <c r="E46" i="5"/>
  <c r="E47" i="5"/>
  <c r="D45" i="5"/>
  <c r="E45" i="5"/>
  <c r="D24" i="4"/>
  <c r="E44" i="5"/>
  <c r="C44" i="5"/>
  <c r="F12" i="5"/>
  <c r="D44" i="5"/>
  <c r="E43" i="5"/>
  <c r="E42" i="5"/>
  <c r="E12" i="2"/>
  <c r="F12" i="2"/>
  <c r="G12" i="2"/>
  <c r="H12" i="2"/>
  <c r="I12" i="2"/>
  <c r="J12" i="2"/>
  <c r="P12" i="2"/>
  <c r="Y12" i="2"/>
  <c r="Z12" i="2"/>
  <c r="AA12" i="2"/>
  <c r="D6" i="2"/>
  <c r="I6" i="2" s="1"/>
  <c r="D7" i="2"/>
  <c r="J7" i="2" s="1"/>
  <c r="D8" i="2"/>
  <c r="I8" i="2" s="1"/>
  <c r="D9" i="2"/>
  <c r="J9" i="2" s="1"/>
  <c r="D10" i="2"/>
  <c r="I10" i="2" s="1"/>
  <c r="D11" i="2"/>
  <c r="J11" i="2" s="1"/>
  <c r="D5" i="2"/>
  <c r="I5" i="2" s="1"/>
  <c r="J19" i="5"/>
  <c r="J18" i="5"/>
  <c r="J13" i="5"/>
  <c r="J14" i="5"/>
  <c r="J15" i="5"/>
  <c r="J16" i="5"/>
  <c r="J17" i="5"/>
  <c r="J12" i="5"/>
  <c r="E39" i="5"/>
  <c r="D39" i="5"/>
  <c r="C39" i="5"/>
  <c r="G19" i="5"/>
  <c r="I19" i="5"/>
  <c r="I13" i="5"/>
  <c r="I14" i="5"/>
  <c r="I15" i="5"/>
  <c r="I16" i="5"/>
  <c r="I17" i="5"/>
  <c r="I12" i="5"/>
  <c r="H19" i="5"/>
  <c r="H13" i="5"/>
  <c r="H14" i="5"/>
  <c r="H15" i="5"/>
  <c r="H16" i="5"/>
  <c r="H17" i="5"/>
  <c r="H12" i="5"/>
  <c r="F29" i="5"/>
  <c r="F23" i="5"/>
  <c r="F24" i="5"/>
  <c r="F25" i="5"/>
  <c r="F26" i="5"/>
  <c r="F27" i="5"/>
  <c r="F28" i="5"/>
  <c r="F22" i="5"/>
  <c r="E29" i="5"/>
  <c r="G13" i="5"/>
  <c r="G14" i="5"/>
  <c r="G15" i="5"/>
  <c r="G16" i="5"/>
  <c r="G17" i="5"/>
  <c r="G12" i="5"/>
  <c r="F19" i="5"/>
  <c r="F13" i="5"/>
  <c r="F14" i="5"/>
  <c r="F15" i="5"/>
  <c r="F16" i="5"/>
  <c r="F17" i="5"/>
  <c r="F18" i="5"/>
  <c r="E19" i="5"/>
  <c r="D19" i="5"/>
  <c r="C19" i="5"/>
  <c r="C9" i="5"/>
  <c r="E9" i="5"/>
  <c r="F9" i="5"/>
  <c r="G9" i="5"/>
  <c r="G3" i="5"/>
  <c r="G4" i="5"/>
  <c r="G5" i="5"/>
  <c r="G6" i="5"/>
  <c r="G7" i="5"/>
  <c r="G8" i="5"/>
  <c r="C8" i="5"/>
  <c r="G2" i="5"/>
  <c r="F3" i="5"/>
  <c r="F4" i="5"/>
  <c r="F5" i="5"/>
  <c r="F6" i="5"/>
  <c r="F7" i="5"/>
  <c r="F8" i="5"/>
  <c r="F2" i="5"/>
  <c r="D9" i="5"/>
  <c r="D3" i="5"/>
  <c r="D4" i="5"/>
  <c r="D5" i="5"/>
  <c r="D6" i="5"/>
  <c r="D7" i="5"/>
  <c r="D8" i="5"/>
  <c r="D2" i="5"/>
  <c r="D13" i="5"/>
  <c r="D14" i="5"/>
  <c r="D15" i="5"/>
  <c r="D16" i="5"/>
  <c r="D17" i="5"/>
  <c r="D18" i="5"/>
  <c r="D12" i="5"/>
  <c r="D29" i="5"/>
  <c r="C13" i="5"/>
  <c r="C14" i="5"/>
  <c r="C15" i="5"/>
  <c r="C16" i="5"/>
  <c r="C17" i="5"/>
  <c r="C12" i="5"/>
  <c r="K19" i="5" l="1"/>
  <c r="E11" i="2"/>
  <c r="E9" i="2"/>
  <c r="G11" i="2"/>
  <c r="G7" i="2"/>
  <c r="I9" i="2"/>
  <c r="E7" i="2"/>
  <c r="G9" i="2"/>
  <c r="I11" i="2"/>
  <c r="I7" i="2"/>
  <c r="F5" i="2"/>
  <c r="F10" i="2"/>
  <c r="F8" i="2"/>
  <c r="F6" i="2"/>
  <c r="H5" i="2"/>
  <c r="H10" i="2"/>
  <c r="H8" i="2"/>
  <c r="H6" i="2"/>
  <c r="J5" i="2"/>
  <c r="J10" i="2"/>
  <c r="J8" i="2"/>
  <c r="J6" i="2"/>
  <c r="E5" i="2"/>
  <c r="E10" i="2"/>
  <c r="E8" i="2"/>
  <c r="E6" i="2"/>
  <c r="F11" i="2"/>
  <c r="F9" i="2"/>
  <c r="F7" i="2"/>
  <c r="G5" i="2"/>
  <c r="G10" i="2"/>
  <c r="G8" i="2"/>
  <c r="G6" i="2"/>
  <c r="H11" i="2"/>
  <c r="H9" i="2"/>
  <c r="H7" i="2"/>
  <c r="P6" i="4"/>
  <c r="P7" i="4"/>
  <c r="P8" i="4"/>
  <c r="P5" i="4"/>
  <c r="E24" i="4"/>
  <c r="F24" i="4"/>
  <c r="G24" i="4"/>
  <c r="H24" i="4"/>
  <c r="I24" i="4"/>
  <c r="J24" i="4"/>
  <c r="K24" i="4"/>
  <c r="L24" i="4"/>
  <c r="M24" i="4"/>
  <c r="N24" i="4"/>
  <c r="O24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B2" i="4"/>
  <c r="P6" i="3"/>
  <c r="P7" i="3"/>
  <c r="P8" i="3"/>
  <c r="P10" i="3"/>
  <c r="P11" i="3"/>
  <c r="P12" i="3"/>
  <c r="P5" i="3"/>
  <c r="AB20" i="4" l="1"/>
  <c r="Z20" i="4"/>
  <c r="X20" i="4"/>
  <c r="V20" i="4"/>
  <c r="T20" i="4"/>
  <c r="AC20" i="4"/>
  <c r="AA6" i="4"/>
  <c r="Y20" i="4"/>
  <c r="W6" i="4"/>
  <c r="U20" i="4"/>
  <c r="S6" i="4"/>
  <c r="S5" i="4"/>
  <c r="U5" i="4"/>
  <c r="W5" i="4"/>
  <c r="Y5" i="4"/>
  <c r="AA5" i="4"/>
  <c r="AC5" i="4"/>
  <c r="AB23" i="4"/>
  <c r="Z23" i="4"/>
  <c r="X23" i="4"/>
  <c r="V23" i="4"/>
  <c r="T23" i="4"/>
  <c r="AB22" i="4"/>
  <c r="Z22" i="4"/>
  <c r="X22" i="4"/>
  <c r="V22" i="4"/>
  <c r="T22" i="4"/>
  <c r="AB21" i="4"/>
  <c r="Z21" i="4"/>
  <c r="X21" i="4"/>
  <c r="V21" i="4"/>
  <c r="T21" i="4"/>
  <c r="AC19" i="4"/>
  <c r="Y19" i="4"/>
  <c r="U19" i="4"/>
  <c r="AC18" i="4"/>
  <c r="Y18" i="4"/>
  <c r="U18" i="4"/>
  <c r="AC17" i="4"/>
  <c r="Y17" i="4"/>
  <c r="U17" i="4"/>
  <c r="AC16" i="4"/>
  <c r="Y16" i="4"/>
  <c r="U16" i="4"/>
  <c r="AC15" i="4"/>
  <c r="Y15" i="4"/>
  <c r="U15" i="4"/>
  <c r="AC14" i="4"/>
  <c r="Y14" i="4"/>
  <c r="U14" i="4"/>
  <c r="AC13" i="4"/>
  <c r="Y13" i="4"/>
  <c r="U13" i="4"/>
  <c r="AC12" i="4"/>
  <c r="Y12" i="4"/>
  <c r="U12" i="4"/>
  <c r="AC11" i="4"/>
  <c r="Y11" i="4"/>
  <c r="U11" i="4"/>
  <c r="AC10" i="4"/>
  <c r="Y10" i="4"/>
  <c r="U10" i="4"/>
  <c r="AC9" i="4"/>
  <c r="Y9" i="4"/>
  <c r="U9" i="4"/>
  <c r="AC8" i="4"/>
  <c r="Y8" i="4"/>
  <c r="U8" i="4"/>
  <c r="AC7" i="4"/>
  <c r="Y7" i="4"/>
  <c r="U7" i="4"/>
  <c r="AC6" i="4"/>
  <c r="Y6" i="4"/>
  <c r="U6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5" i="4"/>
  <c r="V5" i="4"/>
  <c r="X5" i="4"/>
  <c r="Z5" i="4"/>
  <c r="AB5" i="4"/>
  <c r="AC23" i="4"/>
  <c r="AA23" i="4"/>
  <c r="Y23" i="4"/>
  <c r="W23" i="4"/>
  <c r="U23" i="4"/>
  <c r="S23" i="4"/>
  <c r="AC22" i="4"/>
  <c r="AA22" i="4"/>
  <c r="Y22" i="4"/>
  <c r="W22" i="4"/>
  <c r="U22" i="4"/>
  <c r="S22" i="4"/>
  <c r="AC21" i="4"/>
  <c r="AA21" i="4"/>
  <c r="Y21" i="4"/>
  <c r="W21" i="4"/>
  <c r="U21" i="4"/>
  <c r="S21" i="4"/>
  <c r="AA20" i="4"/>
  <c r="W20" i="4"/>
  <c r="S20" i="4"/>
  <c r="AA19" i="4"/>
  <c r="W19" i="4"/>
  <c r="S19" i="4"/>
  <c r="AA18" i="4"/>
  <c r="W18" i="4"/>
  <c r="S18" i="4"/>
  <c r="AA17" i="4"/>
  <c r="W17" i="4"/>
  <c r="S17" i="4"/>
  <c r="AA16" i="4"/>
  <c r="W16" i="4"/>
  <c r="S16" i="4"/>
  <c r="AA15" i="4"/>
  <c r="W15" i="4"/>
  <c r="S15" i="4"/>
  <c r="AA14" i="4"/>
  <c r="W14" i="4"/>
  <c r="S14" i="4"/>
  <c r="AA13" i="4"/>
  <c r="W13" i="4"/>
  <c r="S13" i="4"/>
  <c r="AA12" i="4"/>
  <c r="W12" i="4"/>
  <c r="S12" i="4"/>
  <c r="AA11" i="4"/>
  <c r="W11" i="4"/>
  <c r="S11" i="4"/>
  <c r="AA10" i="4"/>
  <c r="W10" i="4"/>
  <c r="S10" i="4"/>
  <c r="AA9" i="4"/>
  <c r="W9" i="4"/>
  <c r="S9" i="4"/>
  <c r="AA8" i="4"/>
  <c r="W8" i="4"/>
  <c r="S8" i="4"/>
  <c r="AA7" i="4"/>
  <c r="W7" i="4"/>
  <c r="S7" i="4"/>
  <c r="P24" i="4"/>
  <c r="Q24" i="4"/>
  <c r="Q13" i="3"/>
  <c r="E13" i="3"/>
  <c r="S9" i="3" s="1"/>
  <c r="F13" i="3"/>
  <c r="T9" i="3" s="1"/>
  <c r="G13" i="3"/>
  <c r="U9" i="3" s="1"/>
  <c r="H13" i="3"/>
  <c r="V9" i="3" s="1"/>
  <c r="I13" i="3"/>
  <c r="W9" i="3" s="1"/>
  <c r="J13" i="3"/>
  <c r="X9" i="3" s="1"/>
  <c r="K13" i="3"/>
  <c r="Y9" i="3" s="1"/>
  <c r="L13" i="3"/>
  <c r="Z9" i="3" s="1"/>
  <c r="M13" i="3"/>
  <c r="AA9" i="3" s="1"/>
  <c r="N13" i="3"/>
  <c r="AB9" i="3" s="1"/>
  <c r="O13" i="3"/>
  <c r="AC9" i="3" s="1"/>
  <c r="D13" i="3"/>
  <c r="R9" i="3" l="1"/>
  <c r="D15" i="3"/>
  <c r="D26" i="4" s="1"/>
  <c r="AB24" i="4"/>
  <c r="S24" i="4"/>
  <c r="AA24" i="4"/>
  <c r="X24" i="4"/>
  <c r="T24" i="4"/>
  <c r="Z24" i="4"/>
  <c r="U24" i="4"/>
  <c r="V24" i="4"/>
  <c r="AC24" i="4"/>
  <c r="Y24" i="4"/>
  <c r="W24" i="4"/>
  <c r="AA6" i="3"/>
  <c r="AA7" i="3"/>
  <c r="AA8" i="3"/>
  <c r="AA10" i="3"/>
  <c r="AA11" i="3"/>
  <c r="AA12" i="3"/>
  <c r="AA5" i="3"/>
  <c r="Y6" i="3"/>
  <c r="Y7" i="3"/>
  <c r="Y8" i="3"/>
  <c r="Y10" i="3"/>
  <c r="Y11" i="3"/>
  <c r="Y12" i="3"/>
  <c r="Y5" i="3"/>
  <c r="W6" i="3"/>
  <c r="W7" i="3"/>
  <c r="W8" i="3"/>
  <c r="W10" i="3"/>
  <c r="W11" i="3"/>
  <c r="W12" i="3"/>
  <c r="W5" i="3"/>
  <c r="S6" i="3"/>
  <c r="S7" i="3"/>
  <c r="S8" i="3"/>
  <c r="S10" i="3"/>
  <c r="S11" i="3"/>
  <c r="S12" i="3"/>
  <c r="S5" i="3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5" i="4"/>
  <c r="R21" i="4"/>
  <c r="R22" i="4"/>
  <c r="R23" i="4"/>
  <c r="R6" i="3"/>
  <c r="R5" i="3"/>
  <c r="R7" i="3"/>
  <c r="R8" i="3"/>
  <c r="R10" i="3"/>
  <c r="R11" i="3"/>
  <c r="R12" i="3"/>
  <c r="AB6" i="3"/>
  <c r="AB7" i="3"/>
  <c r="AB8" i="3"/>
  <c r="AB10" i="3"/>
  <c r="AB11" i="3"/>
  <c r="AB5" i="3"/>
  <c r="AB12" i="3"/>
  <c r="Z5" i="3"/>
  <c r="Z6" i="3"/>
  <c r="Z7" i="3"/>
  <c r="Z8" i="3"/>
  <c r="Z10" i="3"/>
  <c r="Z11" i="3"/>
  <c r="Z12" i="3"/>
  <c r="X6" i="3"/>
  <c r="X7" i="3"/>
  <c r="X8" i="3"/>
  <c r="X10" i="3"/>
  <c r="X11" i="3"/>
  <c r="X12" i="3"/>
  <c r="X5" i="3"/>
  <c r="V5" i="3"/>
  <c r="V6" i="3"/>
  <c r="V7" i="3"/>
  <c r="V8" i="3"/>
  <c r="V10" i="3"/>
  <c r="V11" i="3"/>
  <c r="V12" i="3"/>
  <c r="T6" i="3"/>
  <c r="T7" i="3"/>
  <c r="T8" i="3"/>
  <c r="T10" i="3"/>
  <c r="T11" i="3"/>
  <c r="T12" i="3"/>
  <c r="T5" i="3"/>
  <c r="AC6" i="3"/>
  <c r="AC7" i="3"/>
  <c r="AC8" i="3"/>
  <c r="AC10" i="3"/>
  <c r="AC11" i="3"/>
  <c r="AC12" i="3"/>
  <c r="AC5" i="3"/>
  <c r="U6" i="3"/>
  <c r="U7" i="3"/>
  <c r="U8" i="3"/>
  <c r="U10" i="3"/>
  <c r="U11" i="3"/>
  <c r="U12" i="3"/>
  <c r="U5" i="3"/>
  <c r="AD9" i="4"/>
  <c r="AD6" i="4"/>
  <c r="AD11" i="4"/>
  <c r="AD15" i="4"/>
  <c r="AD19" i="4"/>
  <c r="AD23" i="4"/>
  <c r="AD10" i="4"/>
  <c r="AD14" i="4"/>
  <c r="AD18" i="4"/>
  <c r="AD22" i="4"/>
  <c r="AD5" i="4"/>
  <c r="AD8" i="4"/>
  <c r="AD13" i="4"/>
  <c r="AD17" i="4"/>
  <c r="AD21" i="4"/>
  <c r="AD7" i="4"/>
  <c r="AD12" i="4"/>
  <c r="AD16" i="4"/>
  <c r="AD20" i="4"/>
  <c r="P6" i="2"/>
  <c r="P7" i="2"/>
  <c r="P8" i="2"/>
  <c r="P9" i="2"/>
  <c r="P10" i="2"/>
  <c r="P11" i="2"/>
  <c r="P5" i="2"/>
  <c r="Q13" i="2"/>
  <c r="E13" i="2"/>
  <c r="S12" i="2" s="1"/>
  <c r="F13" i="2"/>
  <c r="T12" i="2" s="1"/>
  <c r="G13" i="2"/>
  <c r="U12" i="2" s="1"/>
  <c r="H13" i="2"/>
  <c r="V12" i="2" s="1"/>
  <c r="I13" i="2"/>
  <c r="W12" i="2" s="1"/>
  <c r="J13" i="2"/>
  <c r="X12" i="2" s="1"/>
  <c r="K13" i="2"/>
  <c r="L13" i="2"/>
  <c r="M13" i="2"/>
  <c r="N13" i="2"/>
  <c r="AB12" i="2" s="1"/>
  <c r="O13" i="2"/>
  <c r="AC12" i="2" s="1"/>
  <c r="D13" i="2"/>
  <c r="R12" i="2" s="1"/>
  <c r="O15" i="3" l="1"/>
  <c r="O26" i="4" s="1"/>
  <c r="AC5" i="2"/>
  <c r="AC6" i="2"/>
  <c r="AC7" i="2"/>
  <c r="AC8" i="2"/>
  <c r="AC9" i="2"/>
  <c r="AC10" i="2"/>
  <c r="AC11" i="2"/>
  <c r="G15" i="3"/>
  <c r="G26" i="4" s="1"/>
  <c r="U5" i="2"/>
  <c r="U6" i="2"/>
  <c r="U7" i="2"/>
  <c r="U8" i="2"/>
  <c r="U9" i="2"/>
  <c r="U10" i="2"/>
  <c r="U11" i="2"/>
  <c r="R24" i="4"/>
  <c r="M15" i="3"/>
  <c r="M26" i="4" s="1"/>
  <c r="AA5" i="2"/>
  <c r="AA6" i="2"/>
  <c r="AA7" i="2"/>
  <c r="AA8" i="2"/>
  <c r="AA9" i="2"/>
  <c r="AA10" i="2"/>
  <c r="AA11" i="2"/>
  <c r="K15" i="3"/>
  <c r="K26" i="4" s="1"/>
  <c r="Y5" i="2"/>
  <c r="Y6" i="2"/>
  <c r="Y7" i="2"/>
  <c r="Y8" i="2"/>
  <c r="Y9" i="2"/>
  <c r="Y10" i="2"/>
  <c r="Y11" i="2"/>
  <c r="I15" i="3"/>
  <c r="I26" i="4" s="1"/>
  <c r="W5" i="2"/>
  <c r="W6" i="2"/>
  <c r="W7" i="2"/>
  <c r="W8" i="2"/>
  <c r="W9" i="2"/>
  <c r="W10" i="2"/>
  <c r="W11" i="2"/>
  <c r="E15" i="3"/>
  <c r="E26" i="4" s="1"/>
  <c r="S6" i="2"/>
  <c r="S7" i="2"/>
  <c r="S8" i="2"/>
  <c r="S9" i="2"/>
  <c r="S10" i="2"/>
  <c r="S11" i="2"/>
  <c r="S5" i="2"/>
  <c r="R6" i="2"/>
  <c r="R7" i="2"/>
  <c r="R8" i="2"/>
  <c r="R9" i="2"/>
  <c r="R10" i="2"/>
  <c r="R11" i="2"/>
  <c r="R5" i="2"/>
  <c r="N15" i="3"/>
  <c r="N26" i="4" s="1"/>
  <c r="AB6" i="2"/>
  <c r="AB7" i="2"/>
  <c r="AB8" i="2"/>
  <c r="AB9" i="2"/>
  <c r="AB10" i="2"/>
  <c r="AB11" i="2"/>
  <c r="AB5" i="2"/>
  <c r="L15" i="3"/>
  <c r="L26" i="4" s="1"/>
  <c r="Z6" i="2"/>
  <c r="Z7" i="2"/>
  <c r="Z8" i="2"/>
  <c r="Z9" i="2"/>
  <c r="Z10" i="2"/>
  <c r="Z11" i="2"/>
  <c r="Z5" i="2"/>
  <c r="J15" i="3"/>
  <c r="J26" i="4" s="1"/>
  <c r="X6" i="2"/>
  <c r="X7" i="2"/>
  <c r="X8" i="2"/>
  <c r="X9" i="2"/>
  <c r="X10" i="2"/>
  <c r="X11" i="2"/>
  <c r="X5" i="2"/>
  <c r="H15" i="3"/>
  <c r="H26" i="4" s="1"/>
  <c r="V6" i="2"/>
  <c r="V7" i="2"/>
  <c r="V8" i="2"/>
  <c r="V9" i="2"/>
  <c r="V10" i="2"/>
  <c r="V11" i="2"/>
  <c r="V5" i="2"/>
  <c r="F15" i="3"/>
  <c r="F26" i="4" s="1"/>
  <c r="T6" i="2"/>
  <c r="T7" i="2"/>
  <c r="T8" i="2"/>
  <c r="T9" i="2"/>
  <c r="T10" i="2"/>
  <c r="T11" i="2"/>
  <c r="T5" i="2"/>
  <c r="AD24" i="4"/>
  <c r="AD1" i="4"/>
  <c r="B1" i="4"/>
  <c r="B1" i="3"/>
  <c r="AD1" i="3"/>
  <c r="AD2" i="2"/>
  <c r="O3" i="4" s="1"/>
  <c r="B2" i="3"/>
  <c r="M3" i="4" l="1"/>
  <c r="AA3" i="4" s="1"/>
  <c r="N3" i="4"/>
  <c r="AB3" i="4" s="1"/>
  <c r="K3" i="4"/>
  <c r="Y3" i="4" s="1"/>
  <c r="L3" i="4"/>
  <c r="Z3" i="4" s="1"/>
  <c r="I3" i="4"/>
  <c r="W3" i="4" s="1"/>
  <c r="J3" i="4"/>
  <c r="X3" i="4" s="1"/>
  <c r="G3" i="4"/>
  <c r="U3" i="4" s="1"/>
  <c r="H3" i="4"/>
  <c r="V3" i="4" s="1"/>
  <c r="F3" i="4"/>
  <c r="T3" i="4" s="1"/>
  <c r="D3" i="4"/>
  <c r="R3" i="4" s="1"/>
  <c r="E3" i="4"/>
  <c r="S3" i="4" s="1"/>
  <c r="N3" i="3"/>
  <c r="AB3" i="3" s="1"/>
  <c r="O3" i="3"/>
  <c r="AC3" i="3" s="1"/>
  <c r="L3" i="3"/>
  <c r="Z3" i="3" s="1"/>
  <c r="M3" i="3"/>
  <c r="AA3" i="3" s="1"/>
  <c r="J3" i="3"/>
  <c r="X3" i="3" s="1"/>
  <c r="K3" i="3"/>
  <c r="Y3" i="3" s="1"/>
  <c r="H3" i="3"/>
  <c r="V3" i="3" s="1"/>
  <c r="I3" i="3"/>
  <c r="W3" i="3" s="1"/>
  <c r="F3" i="3"/>
  <c r="T3" i="3" s="1"/>
  <c r="G3" i="3"/>
  <c r="U3" i="3" s="1"/>
  <c r="D3" i="3"/>
  <c r="R3" i="3" s="1"/>
  <c r="E3" i="3"/>
  <c r="S3" i="3" s="1"/>
  <c r="N3" i="2"/>
  <c r="AB3" i="2" s="1"/>
  <c r="O3" i="2"/>
  <c r="AC3" i="2" s="1"/>
  <c r="L3" i="2"/>
  <c r="Z3" i="2" s="1"/>
  <c r="M3" i="2"/>
  <c r="AA3" i="2" s="1"/>
  <c r="J3" i="2"/>
  <c r="X3" i="2" s="1"/>
  <c r="K3" i="2"/>
  <c r="Y3" i="2" s="1"/>
  <c r="H3" i="2"/>
  <c r="V3" i="2" s="1"/>
  <c r="I3" i="2"/>
  <c r="W3" i="2" s="1"/>
  <c r="F3" i="2"/>
  <c r="T3" i="2" s="1"/>
  <c r="G3" i="2"/>
  <c r="U3" i="2" s="1"/>
  <c r="D3" i="2"/>
  <c r="R3" i="2" s="1"/>
  <c r="E3" i="2"/>
  <c r="S3" i="2" s="1"/>
  <c r="AC3" i="4"/>
  <c r="AD2" i="4"/>
  <c r="AC2" i="4"/>
  <c r="AD2" i="3"/>
  <c r="AC2" i="3"/>
  <c r="P13" i="2" l="1"/>
  <c r="AD12" i="2" s="1"/>
  <c r="P13" i="3"/>
  <c r="AD9" i="3" s="1"/>
  <c r="P15" i="3" l="1"/>
  <c r="P26" i="4" s="1"/>
  <c r="AD5" i="3"/>
  <c r="AD12" i="3"/>
  <c r="AD7" i="3"/>
  <c r="AD8" i="3"/>
  <c r="AD10" i="3"/>
  <c r="AD11" i="3"/>
  <c r="AD6" i="3"/>
  <c r="AD5" i="2"/>
  <c r="AD11" i="2"/>
  <c r="AD7" i="2"/>
  <c r="AD8" i="2"/>
  <c r="AD9" i="2"/>
  <c r="AD10" i="2"/>
  <c r="AD6" i="2"/>
  <c r="AB13" i="3"/>
  <c r="T13" i="3"/>
  <c r="X13" i="3"/>
  <c r="AC13" i="3"/>
  <c r="S13" i="3"/>
  <c r="AA13" i="3"/>
  <c r="W13" i="3"/>
  <c r="Z13" i="3" l="1"/>
  <c r="R13" i="3"/>
  <c r="U13" i="3"/>
  <c r="V13" i="3"/>
  <c r="Y13" i="3"/>
  <c r="R13" i="2"/>
  <c r="Z13" i="2"/>
  <c r="S13" i="2"/>
  <c r="W13" i="2"/>
  <c r="AA13" i="2"/>
  <c r="V13" i="2"/>
  <c r="X13" i="2"/>
  <c r="T13" i="2"/>
  <c r="AB13" i="2"/>
  <c r="U13" i="2"/>
  <c r="AC13" i="2"/>
  <c r="Y13" i="2"/>
  <c r="X26" i="4"/>
  <c r="Z15" i="3"/>
  <c r="AD13" i="3" l="1"/>
  <c r="AD13" i="2"/>
  <c r="T26" i="4"/>
  <c r="V26" i="4"/>
  <c r="AB26" i="4"/>
  <c r="U26" i="4"/>
  <c r="R26" i="4"/>
  <c r="AD26" i="4"/>
  <c r="S26" i="4"/>
  <c r="W26" i="4"/>
  <c r="AA26" i="4"/>
  <c r="AC26" i="4"/>
  <c r="Z26" i="4"/>
  <c r="Y26" i="4"/>
  <c r="AA15" i="3"/>
  <c r="U15" i="3"/>
  <c r="AD15" i="3"/>
  <c r="V15" i="3"/>
  <c r="T15" i="3"/>
  <c r="X15" i="3"/>
  <c r="W15" i="3"/>
  <c r="AB15" i="3"/>
  <c r="Y15" i="3"/>
  <c r="AC15" i="3"/>
  <c r="R15" i="3"/>
  <c r="S15" i="3"/>
</calcChain>
</file>

<file path=xl/sharedStrings.xml><?xml version="1.0" encoding="utf-8"?>
<sst xmlns="http://schemas.openxmlformats.org/spreadsheetml/2006/main" count="225" uniqueCount="107">
  <si>
    <t>Двенадцать месяцев</t>
  </si>
  <si>
    <t>ОЦЕНКА ПРИБЫЛЕЙ И УБЫТКОВ</t>
  </si>
  <si>
    <t>ДОХОДЫ (ПРОДАЖИ)</t>
  </si>
  <si>
    <t>ОБЪЕМ ПРОДАЖ</t>
  </si>
  <si>
    <t>ТРЕНД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</si>
  <si>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</si>
  <si>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</si>
  <si>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</si>
  <si>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</si>
  <si>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</si>
  <si>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</si>
  <si>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</si>
  <si>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</si>
  <si>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</si>
  <si>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</si>
  <si>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</si>
  <si>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</si>
  <si>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ЗА ГОД</t>
  </si>
  <si>
    <t>За год</t>
  </si>
  <si>
    <t>ИНД (%)</t>
  </si>
  <si>
    <t>Индекс (%)</t>
  </si>
  <si>
    <t>Янв (%)</t>
  </si>
  <si>
    <t>Фев (%)</t>
  </si>
  <si>
    <t>Мар (%)</t>
  </si>
  <si>
    <t>Апр (%)</t>
  </si>
  <si>
    <t>Май (%)</t>
  </si>
  <si>
    <t>Июн (%)</t>
  </si>
  <si>
    <t>Июл (%)</t>
  </si>
  <si>
    <t>Авг (%)</t>
  </si>
  <si>
    <t>Сен (%)</t>
  </si>
  <si>
    <t>Окт (%)</t>
  </si>
  <si>
    <t>НАЧАЛО ФИН. ГОДА:</t>
  </si>
  <si>
    <t>Ноя (%)</t>
  </si>
  <si>
    <t>ЯНВ</t>
  </si>
  <si>
    <t>Дек (%)</t>
  </si>
  <si>
    <t>Название организации</t>
  </si>
  <si>
    <t>ГОД (%)</t>
  </si>
  <si>
    <t>Год (%)</t>
  </si>
  <si>
    <t>СЕБЕСТОИМОСТЬ ПРОДАЖ</t>
  </si>
  <si>
    <t>ОБЩАЯ СЕБЕСТОИМОСТЬ</t>
  </si>
  <si>
    <t>Валовая прибыль</t>
  </si>
  <si>
    <t>ФИНАНСОВЫЙ ГОД:</t>
  </si>
  <si>
    <t>РАСХОДЫ</t>
  </si>
  <si>
    <t>Сторонние услуги</t>
  </si>
  <si>
    <t>Ремонт и обслуживание</t>
  </si>
  <si>
    <t>Реклама</t>
  </si>
  <si>
    <t>Транспорт</t>
  </si>
  <si>
    <t>Аренда</t>
  </si>
  <si>
    <t>Телефонная связь</t>
  </si>
  <si>
    <t>Налоги (на недвижимость и т. д.)</t>
  </si>
  <si>
    <t>Прочие расходы (укажите)</t>
  </si>
  <si>
    <t>Прочие (без уточнения)</t>
  </si>
  <si>
    <t>ОБЩИЕ РАСХОДЫ</t>
  </si>
  <si>
    <t>Чистая прибыль</t>
  </si>
  <si>
    <t xml:space="preserve"> </t>
  </si>
  <si>
    <t>Столбец1</t>
  </si>
  <si>
    <t>Проценты по кредиту</t>
  </si>
  <si>
    <t>Кучинская</t>
  </si>
  <si>
    <t>Маран</t>
  </si>
  <si>
    <t>Барбезьё</t>
  </si>
  <si>
    <t>Ухейилюй</t>
  </si>
  <si>
    <t>Цесарка</t>
  </si>
  <si>
    <t>Мускус</t>
  </si>
  <si>
    <t>Кролики</t>
  </si>
  <si>
    <t>Бройлеры</t>
  </si>
  <si>
    <t>яйценоскость/год</t>
  </si>
  <si>
    <t>кол-во голов</t>
  </si>
  <si>
    <t>комбик гр/гол /сут</t>
  </si>
  <si>
    <t>комбик гр/гол /год</t>
  </si>
  <si>
    <t>комбик гр/гол /мес</t>
  </si>
  <si>
    <t>яйценоскость/день</t>
  </si>
  <si>
    <t>ИТОГО</t>
  </si>
  <si>
    <t>Бройлеры кг</t>
  </si>
  <si>
    <t>корм/год всего</t>
  </si>
  <si>
    <t>корм/мес всего</t>
  </si>
  <si>
    <t>корм/сут всего</t>
  </si>
  <si>
    <t>яйценоскость/мес/гол</t>
  </si>
  <si>
    <t>яиц всего/кг всего</t>
  </si>
  <si>
    <t>ГОД</t>
  </si>
  <si>
    <t>МЕСЯЦ</t>
  </si>
  <si>
    <t>СУТКИ</t>
  </si>
  <si>
    <t>индекс 0,33% стол/яй</t>
  </si>
  <si>
    <t>всего инк. Яй</t>
  </si>
  <si>
    <t>ст-ть инк/яй</t>
  </si>
  <si>
    <t>ст-ть стол/яй</t>
  </si>
  <si>
    <t>сто-ть кг/мяс</t>
  </si>
  <si>
    <t>рубли</t>
  </si>
  <si>
    <t>Итого</t>
  </si>
  <si>
    <t>Доход</t>
  </si>
  <si>
    <t>Комбикорм</t>
  </si>
  <si>
    <t>-</t>
  </si>
  <si>
    <t>Инкубационное яйцо</t>
  </si>
  <si>
    <t>Расходные материалы (канц. Тов. и текущие)</t>
  </si>
  <si>
    <t>Опилка, стружка</t>
  </si>
  <si>
    <t>Инкубаторы</t>
  </si>
  <si>
    <t>Коммунальные услуги (Электроэнергия)</t>
  </si>
  <si>
    <t>наименование</t>
  </si>
  <si>
    <t>Стружка/опилка</t>
  </si>
  <si>
    <t>кол-во/мес</t>
  </si>
  <si>
    <t>вет. Преп.</t>
  </si>
  <si>
    <t>Ветеринарные препараты и дезинфекция</t>
  </si>
  <si>
    <t>комбикорм ср/800руб. 40кг</t>
  </si>
  <si>
    <t>Зерно</t>
  </si>
  <si>
    <t>Сено</t>
  </si>
  <si>
    <t xml:space="preserve">Зерно </t>
  </si>
  <si>
    <t>СЕНО рул</t>
  </si>
  <si>
    <t>себ/ть яйца/кг мяс.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</si>
</sst>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&quot;₽&quot;_-;\-* #,##0\ &quot;₽&quot;_-;_-* &quot;-&quot;\ &quot;₽&quot;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;;;"/>
    <numFmt numFmtId="169" formatCode="0%;;&quot;-&quot;;"/>
    <numFmt numFmtId="170" formatCode="[$-F419]yyyy\,\ mmmm;@"/>
  </numFmts>
  <fonts count="29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b/>
      <sz val="12"/>
      <color theme="8"/>
      <name val="Bookman Old Style"/>
      <family val="1"/>
      <scheme val="major"/>
    </font>
    <font>
      <b/>
      <sz val="26"/>
      <color theme="3"/>
      <name val="Century Gothic"/>
      <family val="2"/>
      <scheme val="minor"/>
    </font>
    <font>
      <b/>
      <sz val="22"/>
      <color theme="3"/>
      <name val="Century Gothic"/>
      <family val="2"/>
      <scheme val="minor"/>
    </font>
    <font>
      <b/>
      <sz val="12"/>
      <color theme="3"/>
      <name val="Century Gothic"/>
      <family val="2"/>
      <scheme val="minor"/>
    </font>
    <font>
      <b/>
      <i/>
      <sz val="22"/>
      <color theme="7"/>
      <name val="Bookman Old Style"/>
      <family val="1"/>
      <scheme val="major"/>
    </font>
    <font>
      <b/>
      <sz val="11"/>
      <color theme="8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theme="3"/>
      <name val="Bookman Old Style"/>
      <family val="1"/>
      <scheme val="major"/>
    </font>
    <font>
      <sz val="11"/>
      <name val="Century Gothic"/>
      <family val="2"/>
      <scheme val="minor"/>
    </font>
    <font>
      <b/>
      <i/>
      <sz val="16"/>
      <color theme="7" tint="-0.24994659260841701"/>
      <name val="Bookman Old Style"/>
      <family val="1"/>
      <scheme val="major"/>
    </font>
    <font>
      <b/>
      <i/>
      <sz val="22"/>
      <color theme="7" tint="-0.24994659260841701"/>
      <name val="Bookman Old Style"/>
      <family val="1"/>
      <scheme val="major"/>
    </font>
    <font>
      <sz val="11"/>
      <color theme="1"/>
      <name val="Century Gothic"/>
      <family val="2"/>
      <scheme val="minor"/>
    </font>
    <font>
      <b/>
      <i/>
      <sz val="16"/>
      <color theme="7" tint="-0.24994659260841701"/>
      <name val="Bookman Old Style"/>
      <family val="1"/>
      <scheme val="major"/>
    </font>
    <font>
      <b/>
      <i/>
      <sz val="22"/>
      <color theme="7"/>
      <name val="Bookman Old Style"/>
      <family val="1"/>
      <scheme val="major"/>
    </font>
    <font>
      <b/>
      <i/>
      <sz val="22"/>
      <color theme="7" tint="-0.24994659260841701"/>
      <name val="Bookman Old Style"/>
      <family val="1"/>
      <scheme val="major"/>
    </font>
    <font>
      <b/>
      <sz val="22"/>
      <color theme="3"/>
      <name val="Century Gothic"/>
      <family val="2"/>
      <scheme val="minor"/>
    </font>
    <font>
      <b/>
      <sz val="26"/>
      <color theme="3"/>
      <name val="Century Gothic"/>
      <family val="2"/>
      <scheme val="minor"/>
    </font>
    <font>
      <b/>
      <sz val="11"/>
      <color theme="8"/>
      <name val="Century Gothic"/>
      <family val="2"/>
      <scheme val="minor"/>
    </font>
    <font>
      <b/>
      <sz val="12"/>
      <color theme="8"/>
      <name val="Bookman Old Style"/>
      <family val="1"/>
      <scheme val="major"/>
    </font>
    <font>
      <sz val="11"/>
      <color theme="3"/>
      <name val="Bookman Old Style"/>
      <family val="1"/>
      <scheme val="major"/>
    </font>
    <font>
      <b/>
      <sz val="12"/>
      <color theme="3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11"/>
      <name val="Century Gothic"/>
      <family val="2"/>
      <scheme val="minor"/>
    </font>
    <font>
      <b/>
      <sz val="11"/>
      <color theme="1"/>
      <name val="Century Gothic"/>
      <family val="2"/>
      <charset val="204"/>
      <scheme val="minor"/>
    </font>
    <font>
      <sz val="10"/>
      <color theme="1"/>
      <name val="Century Gothic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theme="3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9" fontId="12" fillId="0" borderId="0" applyFill="0" applyBorder="0" applyProtection="0">
      <alignment horizontal="right"/>
    </xf>
    <xf numFmtId="0" fontId="6" fillId="0" borderId="0" applyNumberFormat="0" applyFill="0" applyBorder="0" applyProtection="0">
      <alignment vertical="center"/>
    </xf>
    <xf numFmtId="0" fontId="13" fillId="0" borderId="3" applyProtection="0">
      <alignment vertical="center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2" fillId="0" borderId="0" applyFill="0" applyBorder="0" applyAlignment="0" applyProtection="0"/>
    <xf numFmtId="0" fontId="2" fillId="4" borderId="1" applyNumberFormat="0" applyFont="0" applyAlignment="0" applyProtection="0"/>
    <xf numFmtId="0" fontId="3" fillId="2" borderId="0">
      <alignment horizontal="right" vertical="center" indent="1"/>
    </xf>
    <xf numFmtId="164" fontId="10" fillId="2" borderId="0" applyBorder="0" applyAlignment="0" applyProtection="0"/>
    <xf numFmtId="9" fontId="10" fillId="2" borderId="0" applyBorder="0" applyAlignment="0" applyProtection="0"/>
    <xf numFmtId="0" fontId="2" fillId="0" borderId="0">
      <alignment horizontal="right" wrapText="1" indent="1"/>
    </xf>
    <xf numFmtId="0" fontId="14" fillId="0" borderId="0" applyFill="0" applyProtection="0">
      <alignment horizontal="right" vertical="center"/>
    </xf>
    <xf numFmtId="0" fontId="4" fillId="0" borderId="0" applyFill="0" applyProtection="0">
      <alignment horizontal="right" vertical="center"/>
    </xf>
    <xf numFmtId="170" fontId="11" fillId="0" borderId="2" applyFill="0" applyProtection="0">
      <alignment horizontal="center" vertical="center"/>
    </xf>
    <xf numFmtId="0" fontId="7" fillId="0" borderId="0">
      <alignment horizontal="right" indent="1"/>
    </xf>
    <xf numFmtId="165" fontId="2" fillId="5" borderId="4" applyNumberFormat="0" applyFont="0" applyAlignment="0">
      <alignment horizontal="center"/>
    </xf>
    <xf numFmtId="164" fontId="12" fillId="3" borderId="4" applyFont="0" applyAlignment="0"/>
    <xf numFmtId="165" fontId="12" fillId="6" borderId="4" applyNumberFormat="0" applyFont="0" applyAlignment="0"/>
  </cellStyleXfs>
  <cellXfs count="86">
    <xf numFmtId="0" fontId="0" fillId="0" borderId="0" xfId="0"/>
    <xf numFmtId="0" fontId="0" fillId="0" borderId="0" xfId="0" applyBorder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2" applyBorder="1" applyAlignment="1">
      <alignment vertical="center"/>
    </xf>
    <xf numFmtId="0" fontId="9" fillId="0" borderId="0" xfId="0" applyFont="1"/>
    <xf numFmtId="0" fontId="0" fillId="0" borderId="0" xfId="0" applyNumberFormat="1"/>
    <xf numFmtId="0" fontId="8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/>
    <xf numFmtId="0" fontId="3" fillId="2" borderId="0" xfId="8">
      <alignment horizontal="right" vertical="center" indent="1"/>
    </xf>
    <xf numFmtId="164" fontId="10" fillId="2" borderId="0" xfId="9" applyFill="1" applyAlignment="1">
      <alignment horizontal="right" vertical="center" indent="1"/>
    </xf>
    <xf numFmtId="9" fontId="10" fillId="2" borderId="0" xfId="10" applyFill="1" applyAlignment="1">
      <alignment horizontal="right" vertical="center" indent="1"/>
    </xf>
    <xf numFmtId="0" fontId="2" fillId="0" borderId="0" xfId="11">
      <alignment horizontal="right" wrapText="1" indent="1"/>
    </xf>
    <xf numFmtId="0" fontId="0" fillId="0" borderId="0" xfId="0" applyAlignment="1">
      <alignment horizontal="center"/>
    </xf>
    <xf numFmtId="0" fontId="14" fillId="0" borderId="0" xfId="12">
      <alignment horizontal="right" vertical="center"/>
    </xf>
    <xf numFmtId="0" fontId="4" fillId="0" borderId="0" xfId="13">
      <alignment horizontal="right" vertical="center"/>
    </xf>
    <xf numFmtId="170" fontId="11" fillId="0" borderId="2" xfId="14">
      <alignment horizontal="center" vertical="center"/>
    </xf>
    <xf numFmtId="0" fontId="13" fillId="0" borderId="3" xfId="3">
      <alignment vertical="center"/>
    </xf>
    <xf numFmtId="168" fontId="0" fillId="0" borderId="0" xfId="0" applyNumberFormat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right"/>
    </xf>
    <xf numFmtId="164" fontId="0" fillId="0" borderId="0" xfId="6" applyFont="1" applyFill="1" applyBorder="1"/>
    <xf numFmtId="9" fontId="0" fillId="0" borderId="0" xfId="1" applyFont="1" applyFill="1" applyBorder="1" applyAlignment="1">
      <alignment horizontal="right"/>
    </xf>
    <xf numFmtId="0" fontId="7" fillId="0" borderId="0" xfId="15">
      <alignment horizontal="right" indent="1"/>
    </xf>
    <xf numFmtId="0" fontId="6" fillId="0" borderId="0" xfId="2" applyBorder="1">
      <alignment vertical="center"/>
    </xf>
    <xf numFmtId="0" fontId="0" fillId="3" borderId="4" xfId="17" applyNumberFormat="1" applyFont="1"/>
    <xf numFmtId="0" fontId="0" fillId="6" borderId="4" xfId="18" applyNumberFormat="1" applyFont="1" applyAlignment="1">
      <alignment horizontal="center"/>
    </xf>
    <xf numFmtId="164" fontId="12" fillId="6" borderId="4" xfId="6" applyFill="1" applyBorder="1"/>
    <xf numFmtId="9" fontId="12" fillId="6" borderId="4" xfId="1" applyFill="1" applyBorder="1" applyAlignment="1">
      <alignment horizontal="right"/>
    </xf>
    <xf numFmtId="164" fontId="0" fillId="0" borderId="0" xfId="6" applyNumberFormat="1" applyFont="1" applyFill="1" applyBorder="1"/>
    <xf numFmtId="164" fontId="0" fillId="3" borderId="4" xfId="17" applyNumberFormat="1" applyFont="1"/>
    <xf numFmtId="164" fontId="10" fillId="2" borderId="0" xfId="9" applyNumberFormat="1" applyFill="1" applyAlignment="1">
      <alignment horizontal="right" vertical="center" indent="1"/>
    </xf>
    <xf numFmtId="9" fontId="12" fillId="3" borderId="4" xfId="17" applyNumberFormat="1" applyAlignment="1">
      <alignment horizontal="right"/>
    </xf>
    <xf numFmtId="170" fontId="11" fillId="0" borderId="2" xfId="14" applyNumberFormat="1">
      <alignment horizontal="center" vertical="center"/>
    </xf>
    <xf numFmtId="164" fontId="0" fillId="0" borderId="0" xfId="0" applyNumberFormat="1"/>
    <xf numFmtId="0" fontId="15" fillId="0" borderId="0" xfId="0" applyNumberFormat="1" applyFont="1"/>
    <xf numFmtId="0" fontId="16" fillId="0" borderId="3" xfId="3" applyFo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right" vertical="center"/>
    </xf>
    <xf numFmtId="0" fontId="18" fillId="0" borderId="0" xfId="12" applyFont="1">
      <alignment horizontal="right" vertical="center"/>
    </xf>
    <xf numFmtId="0" fontId="19" fillId="0" borderId="0" xfId="2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/>
    <xf numFmtId="0" fontId="22" fillId="0" borderId="0" xfId="13" applyFont="1">
      <alignment horizontal="right" vertical="center"/>
    </xf>
    <xf numFmtId="0" fontId="22" fillId="0" borderId="0" xfId="13" applyNumberFormat="1" applyFont="1">
      <alignment horizontal="right" vertical="center"/>
    </xf>
    <xf numFmtId="170" fontId="23" fillId="0" borderId="2" xfId="14" applyNumberFormat="1" applyFont="1">
      <alignment horizontal="center" vertical="center"/>
    </xf>
    <xf numFmtId="0" fontId="24" fillId="0" borderId="0" xfId="15" applyFont="1">
      <alignment horizontal="right" indent="1"/>
    </xf>
    <xf numFmtId="168" fontId="15" fillId="0" borderId="0" xfId="0" applyNumberFormat="1" applyFont="1" applyFill="1" applyBorder="1" applyAlignment="1">
      <alignment horizontal="center"/>
    </xf>
    <xf numFmtId="168" fontId="15" fillId="0" borderId="0" xfId="0" applyNumberFormat="1" applyFont="1" applyFill="1" applyBorder="1" applyAlignment="1">
      <alignment horizontal="right"/>
    </xf>
    <xf numFmtId="0" fontId="25" fillId="5" borderId="4" xfId="16" applyNumberFormat="1" applyFont="1" applyAlignment="1">
      <alignment horizontal="center"/>
    </xf>
    <xf numFmtId="164" fontId="26" fillId="0" borderId="0" xfId="6" applyNumberFormat="1" applyFont="1" applyFill="1" applyBorder="1"/>
    <xf numFmtId="164" fontId="26" fillId="5" borderId="4" xfId="6" applyNumberFormat="1" applyFont="1" applyFill="1" applyBorder="1" applyAlignment="1">
      <alignment horizontal="center"/>
    </xf>
    <xf numFmtId="9" fontId="26" fillId="0" borderId="0" xfId="1" applyFont="1" applyFill="1" applyBorder="1" applyAlignment="1">
      <alignment horizontal="right"/>
    </xf>
    <xf numFmtId="9" fontId="26" fillId="5" borderId="4" xfId="1" applyFont="1" applyFill="1" applyBorder="1" applyAlignment="1">
      <alignment horizontal="right"/>
    </xf>
    <xf numFmtId="9" fontId="26" fillId="5" borderId="4" xfId="1" applyFont="1" applyFill="1" applyBorder="1">
      <alignment horizontal="right"/>
    </xf>
    <xf numFmtId="0" fontId="0" fillId="0" borderId="0" xfId="11" applyFont="1">
      <alignment horizontal="right" wrapText="1" indent="1"/>
    </xf>
    <xf numFmtId="0" fontId="0" fillId="0" borderId="5" xfId="0" applyBorder="1"/>
    <xf numFmtId="0" fontId="0" fillId="0" borderId="5" xfId="11" applyNumberFormat="1" applyFont="1" applyBorder="1" applyAlignment="1">
      <alignment horizontal="right" wrapText="1" indent="1"/>
    </xf>
    <xf numFmtId="1" fontId="0" fillId="0" borderId="5" xfId="0" applyNumberFormat="1" applyBorder="1"/>
    <xf numFmtId="0" fontId="0" fillId="0" borderId="5" xfId="0" applyFill="1" applyBorder="1"/>
    <xf numFmtId="0" fontId="0" fillId="7" borderId="5" xfId="0" applyFill="1" applyBorder="1"/>
    <xf numFmtId="0" fontId="27" fillId="0" borderId="5" xfId="0" applyFont="1" applyBorder="1"/>
    <xf numFmtId="1" fontId="27" fillId="0" borderId="5" xfId="0" applyNumberFormat="1" applyFont="1" applyBorder="1"/>
    <xf numFmtId="164" fontId="12" fillId="0" borderId="0" xfId="6" applyNumberFormat="1" applyFont="1" applyFill="1" applyBorder="1"/>
    <xf numFmtId="4" fontId="0" fillId="0" borderId="5" xfId="0" applyNumberFormat="1" applyBorder="1"/>
    <xf numFmtId="4" fontId="27" fillId="0" borderId="5" xfId="0" applyNumberFormat="1" applyFont="1" applyBorder="1"/>
    <xf numFmtId="0" fontId="1" fillId="0" borderId="0" xfId="0" applyFont="1" applyFill="1" applyBorder="1" applyAlignment="1">
      <alignment horizontal="right" indent="1"/>
    </xf>
    <xf numFmtId="0" fontId="1" fillId="0" borderId="0" xfId="0" applyFont="1" applyFill="1" applyBorder="1"/>
    <xf numFmtId="164" fontId="1" fillId="0" borderId="0" xfId="0" applyNumberFormat="1" applyFont="1" applyFill="1" applyBorder="1"/>
    <xf numFmtId="9" fontId="1" fillId="0" borderId="0" xfId="0" applyNumberFormat="1" applyFont="1" applyFill="1" applyBorder="1" applyAlignment="1">
      <alignment horizontal="right"/>
    </xf>
    <xf numFmtId="164" fontId="26" fillId="5" borderId="0" xfId="6" applyNumberFormat="1" applyFont="1" applyFill="1" applyBorder="1" applyAlignment="1">
      <alignment horizontal="center"/>
    </xf>
    <xf numFmtId="9" fontId="26" fillId="5" borderId="0" xfId="1" applyFont="1" applyFill="1" applyBorder="1" applyAlignment="1">
      <alignment horizontal="right"/>
    </xf>
    <xf numFmtId="9" fontId="26" fillId="5" borderId="0" xfId="1" applyFont="1" applyFill="1" applyBorder="1">
      <alignment horizontal="right"/>
    </xf>
    <xf numFmtId="0" fontId="28" fillId="5" borderId="4" xfId="16" applyNumberFormat="1" applyFont="1" applyAlignment="1">
      <alignment horizontal="center"/>
    </xf>
    <xf numFmtId="0" fontId="0" fillId="0" borderId="5" xfId="11" applyNumberFormat="1" applyFont="1" applyFill="1" applyBorder="1" applyAlignment="1">
      <alignment horizontal="right" wrapText="1" indent="1"/>
    </xf>
    <xf numFmtId="0" fontId="0" fillId="7" borderId="5" xfId="11" applyNumberFormat="1" applyFont="1" applyFill="1" applyBorder="1" applyAlignment="1">
      <alignment horizontal="right" wrapText="1" indent="1"/>
    </xf>
    <xf numFmtId="0" fontId="27" fillId="7" borderId="5" xfId="0" applyFont="1" applyFill="1" applyBorder="1"/>
    <xf numFmtId="0" fontId="0" fillId="0" borderId="5" xfId="0" applyBorder="1" applyAlignment="1">
      <alignment wrapText="1" shrinkToFit="1"/>
    </xf>
    <xf numFmtId="0" fontId="1" fillId="0" borderId="0" xfId="0" applyFont="1" applyFill="1" applyBorder="1" applyAlignment="1">
      <alignment horizontal="center"/>
    </xf>
    <xf numFmtId="169" fontId="1" fillId="0" borderId="0" xfId="0" applyNumberFormat="1" applyFont="1" applyFill="1" applyBorder="1" applyAlignment="1">
      <alignment horizontal="right"/>
    </xf>
    <xf numFmtId="0" fontId="1" fillId="3" borderId="4" xfId="17" applyNumberFormat="1" applyFont="1"/>
    <xf numFmtId="164" fontId="12" fillId="3" borderId="4" xfId="17" applyAlignment="1">
      <alignment horizontal="right"/>
    </xf>
    <xf numFmtId="2" fontId="0" fillId="0" borderId="5" xfId="0" applyNumberFormat="1" applyBorder="1"/>
    <xf numFmtId="2" fontId="27" fillId="0" borderId="5" xfId="0" applyNumberFormat="1" applyFont="1" applyBorder="1"/>
  </cellXfs>
  <cellStyles count="19">
    <cellStyle name="Данные таблицы" xfId="11"/>
    <cellStyle name="Денежный [0]" xfId="6" builtinId="7" customBuiltin="1"/>
    <cellStyle name="Заголовок 1" xfId="3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Заголовок таблицы 1" xfId="15"/>
    <cellStyle name="Заполнение доходов" xfId="16"/>
    <cellStyle name="Заполнение расходов" xfId="18"/>
    <cellStyle name="Заполнение себестоимости продаж" xfId="17"/>
    <cellStyle name="Название" xfId="2" builtinId="15" customBuiltin="1"/>
    <cellStyle name="Обычный" xfId="0" builtinId="0" customBuiltin="1"/>
    <cellStyle name="Прибыль" xfId="8"/>
    <cellStyle name="Примечание" xfId="7" builtinId="10" customBuiltin="1"/>
    <cellStyle name="Процент прибыли" xfId="10"/>
    <cellStyle name="Процентный" xfId="1" builtinId="5" customBuiltin="1"/>
    <cellStyle name="Сумма прибыли" xfId="9"/>
    <cellStyle name="Финансовый" xfId="4" builtinId="3" customBuiltin="1"/>
    <cellStyle name="Финансовый [0]" xfId="5" builtinId="6" customBuiltin="1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9" formatCode="0%;;&quot;-&quot;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4" formatCode="_-* #,##0\ &quot;₽&quot;_-;\-* #,##0\ &quot;₽&quot;_-;_-* &quot;-&quot;\ &quot;₽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_-* #,##0\ &quot;₽&quot;_-;\-* #,##0\ &quot;₽&quot;_-;_-* &quot;-&quot;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border>
        <left/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border>
        <left/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border>
        <vertical/>
        <horizontal/>
      </border>
    </dxf>
    <dxf>
      <border>
        <left/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4506668294322"/>
        </vertical>
        <horizontal style="thin">
          <color theme="5" tint="0.39994506668294322"/>
        </horizontal>
      </border>
    </dxf>
    <dxf>
      <border>
        <left/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1454817346722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border>
        <vertical/>
        <horizontal/>
      </border>
    </dxf>
    <dxf>
      <border>
        <left/>
        <right style="dotted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dotted">
          <color theme="6" tint="0.39994506668294322"/>
        </vertical>
        <horizontal style="thin">
          <color theme="6" tint="0.39994506668294322"/>
        </horizontal>
      </border>
    </dxf>
    <dxf>
      <border>
        <left/>
        <right style="dotted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dotted">
          <color theme="6" tint="0.39994506668294322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border>
        <vertical/>
        <horizontal/>
      </border>
    </dxf>
  </dxfs>
  <tableStyles count="3" defaultTableStyle="Прибыли и убытки — доходы" defaultPivotStyle="PivotStyleLight16">
    <tableStyle name="Прибыли и убытки — расходы" pivot="0" count="5">
      <tableStyleElement type="wholeTable" dxfId="131"/>
      <tableStyleElement type="headerRow" dxfId="130"/>
      <tableStyleElement type="totalRow" dxfId="129"/>
      <tableStyleElement type="firstRowStripe" dxfId="128"/>
      <tableStyleElement type="secondRowStripe" dxfId="127"/>
    </tableStyle>
    <tableStyle name="Прибыли и убытки — доходы" pivot="0" count="5">
      <tableStyleElement type="wholeTable" dxfId="126"/>
      <tableStyleElement type="headerRow" dxfId="125"/>
      <tableStyleElement type="totalRow" dxfId="124"/>
      <tableStyleElement type="firstRowStripe" dxfId="123"/>
      <tableStyleElement type="secondRowStripe" dxfId="122"/>
    </tableStyle>
    <tableStyle name="Прибыли и убытки — продажи" pivot="0" count="5">
      <tableStyleElement type="wholeTable" dxfId="121"/>
      <tableStyleElement type="headerRow" dxfId="120"/>
      <tableStyleElement type="totalRow" dxfId="119"/>
      <tableStyleElement type="firstRowStripe" dxfId="118"/>
      <tableStyleElement type="secondRowStripe" dxfId="1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Доходы" displayName="Доходы" ref="B4:AD13" totalsRowCount="1">
  <autoFilter ref="B4:AD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name="ДОХОДЫ (ПРОДАЖИ)" totalsRowLabel="ОБЪЕМ ПРОДАЖ" totalsRowDxfId="116"/>
    <tableColumn id="29" name="ТРЕНД" dataDxfId="115" totalsRowDxfId="114" dataCellStyle="Заполнение доходов"/>
    <tableColumn id="2" name="Янв" totalsRowFunction="sum" dataDxfId="113" totalsRowDxfId="112">
      <calculatedColumnFormula>ИсхД!J12</calculatedColumnFormula>
    </tableColumn>
    <tableColumn id="3" name="Фев" totalsRowFunction="sum" dataDxfId="111" totalsRowDxfId="110">
      <calculatedColumnFormula>Доходы[[#This Row],[Янв]]</calculatedColumnFormula>
    </tableColumn>
    <tableColumn id="4" name="Мар" totalsRowFunction="sum" dataDxfId="109" totalsRowDxfId="108">
      <calculatedColumnFormula>Доходы[[#This Row],[Янв]]</calculatedColumnFormula>
    </tableColumn>
    <tableColumn id="5" name="Апр" totalsRowFunction="sum" dataDxfId="107" totalsRowDxfId="106">
      <calculatedColumnFormula>Доходы[[#This Row],[Янв]]</calculatedColumnFormula>
    </tableColumn>
    <tableColumn id="6" name="Май" totalsRowFunction="sum" dataDxfId="105" totalsRowDxfId="104">
      <calculatedColumnFormula>Доходы[[#This Row],[Янв]]</calculatedColumnFormula>
    </tableColumn>
    <tableColumn id="7" name="Июн" totalsRowFunction="sum" dataDxfId="103" totalsRowDxfId="102">
      <calculatedColumnFormula>Доходы[[#This Row],[Янв]]</calculatedColumnFormula>
    </tableColumn>
    <tableColumn id="8" name="Июл" totalsRowFunction="sum" dataDxfId="101" totalsRowDxfId="100">
      <calculatedColumnFormula>Доходы[[#This Row],[Янв]]</calculatedColumnFormula>
    </tableColumn>
    <tableColumn id="9" name="Авг" totalsRowFunction="sum" dataDxfId="99" totalsRowDxfId="98"/>
    <tableColumn id="10" name="Сен" totalsRowFunction="sum" dataDxfId="97" totalsRowDxfId="96"/>
    <tableColumn id="11" name="Окт" totalsRowFunction="sum" dataDxfId="95" totalsRowDxfId="94"/>
    <tableColumn id="12" name="Ноя" totalsRowFunction="sum" dataDxfId="93" totalsRowDxfId="92"/>
    <tableColumn id="13" name="Дек" totalsRowFunction="sum" dataDxfId="91" totalsRowDxfId="90"/>
    <tableColumn id="14" name="За год" totalsRowFunction="sum" dataDxfId="89" totalsRowDxfId="88">
      <calculatedColumnFormula>SUM(Доходы[[#This Row],[Янв]:[Дек]])</calculatedColumnFormula>
    </tableColumn>
    <tableColumn id="15" name="Индекс (%)" totalsRowFunction="sum" totalsRowDxfId="87"/>
    <tableColumn id="16" name="Янв (%)" totalsRowFunction="sum" totalsRowDxfId="86">
      <calculatedColumnFormula>IFERROR(Доходы[[#This Row],[Янв]]/Доходы[[#Totals],[Янв]],"-")</calculatedColumnFormula>
    </tableColumn>
    <tableColumn id="17" name="Фев (%)" totalsRowFunction="sum" totalsRowDxfId="85">
      <calculatedColumnFormula>IFERROR(Доходы[[#This Row],[Фев]]/Доходы[[#Totals],[Фев]],"-")</calculatedColumnFormula>
    </tableColumn>
    <tableColumn id="18" name="Мар (%)" totalsRowFunction="sum" totalsRowDxfId="84">
      <calculatedColumnFormula>IFERROR(Доходы[[#This Row],[Мар]]/Доходы[[#Totals],[Мар]],"-")</calculatedColumnFormula>
    </tableColumn>
    <tableColumn id="19" name="Апр (%)" totalsRowFunction="sum" totalsRowDxfId="83">
      <calculatedColumnFormula>IFERROR(Доходы[[#This Row],[Апр]]/Доходы[[#Totals],[Апр]],"-")</calculatedColumnFormula>
    </tableColumn>
    <tableColumn id="20" name="Май (%)" totalsRowFunction="sum" totalsRowDxfId="82">
      <calculatedColumnFormula>IFERROR(Доходы[[#This Row],[Май]]/Доходы[[#Totals],[Май]],"-")</calculatedColumnFormula>
    </tableColumn>
    <tableColumn id="21" name="Июн (%)" totalsRowFunction="sum" totalsRowDxfId="81">
      <calculatedColumnFormula>IFERROR(Доходы[[#This Row],[Июн]]/Доходы[[#Totals],[Июн]],"-")</calculatedColumnFormula>
    </tableColumn>
    <tableColumn id="22" name="Июл (%)" totalsRowFunction="sum" totalsRowDxfId="80">
      <calculatedColumnFormula>IFERROR(Доходы[[#This Row],[Июл]]/Доходы[[#Totals],[Июл]],"-")</calculatedColumnFormula>
    </tableColumn>
    <tableColumn id="23" name="Авг (%)" totalsRowFunction="sum" totalsRowDxfId="79">
      <calculatedColumnFormula>IFERROR(Доходы[[#This Row],[Авг]]/Доходы[[#Totals],[Авг]],"-")</calculatedColumnFormula>
    </tableColumn>
    <tableColumn id="24" name="Сен (%)" totalsRowFunction="sum" totalsRowDxfId="78">
      <calculatedColumnFormula>IFERROR(Доходы[[#This Row],[Сен]]/Доходы[[#Totals],[Сен]],"-")</calculatedColumnFormula>
    </tableColumn>
    <tableColumn id="25" name="Окт (%)" totalsRowFunction="sum" totalsRowDxfId="77">
      <calculatedColumnFormula>IFERROR(Доходы[[#This Row],[Окт]]/Доходы[[#Totals],[Окт]],"-")</calculatedColumnFormula>
    </tableColumn>
    <tableColumn id="26" name="Ноя (%)" totalsRowFunction="sum" totalsRowDxfId="76">
      <calculatedColumnFormula>IFERROR(Доходы[[#This Row],[Ноя]]/Доходы[[#Totals],[Ноя]],"-")</calculatedColumnFormula>
    </tableColumn>
    <tableColumn id="27" name="Дек (%)" totalsRowFunction="sum" totalsRowDxfId="75">
      <calculatedColumnFormula>IFERROR(Доходы[[#This Row],[Дек]]/Доходы[[#Totals],[Дек]],"-")</calculatedColumnFormula>
    </tableColumn>
    <tableColumn id="28" name="Год (%)" totalsRowFunction="sum" totalsRowDxfId="74">
      <calculatedColumnFormula>IFERROR(Доходы[[#This Row],[За год]]/Доходы[[#Totals],[За год]],"-")</calculatedColumnFormula>
    </tableColumn>
  </tableColumns>
  <tableStyleInfo name="Прибыли и убытки — доходы" showFirstColumn="0" showLastColumn="0" showRowStripes="1" showColumnStripes="0"/>
  <extLst>
    <ext xmlns:x14="http://schemas.microsoft.com/office/spreadsheetml/2009/9/main" uri="{504A1905-F514-4f6f-8877-14C23A59335A}">
      <x14:table altTextSummary="Сводка ежемесячных продаж, годовой итог и помесячный процент по каждой статье доходов"/>
    </ext>
  </extLst>
</table>
</file>

<file path=xl/tables/table2.xml><?xml version="1.0" encoding="utf-8"?>
<table xmlns="http://schemas.openxmlformats.org/spreadsheetml/2006/main" id="2" name="Себестоимость_продаж" displayName="Себестоимость_продаж" ref="B4:AD13" totalsRowCount="1">
  <tableColumns count="29">
    <tableColumn id="1" name="СЕБЕСТОИМОСТЬ ПРОДАЖ" totalsRowLabel="ОБЩАЯ СЕБЕСТОИМОСТЬ" dataDxfId="73" totalsRowDxfId="72" dataCellStyle="Данные таблицы"/>
    <tableColumn id="2" name="ТРЕНД" dataDxfId="71" totalsRowDxfId="70" dataCellStyle="Заполнение себестоимости продаж"/>
    <tableColumn id="3" name="Янв" totalsRowFunction="sum" dataDxfId="69" totalsRowDxfId="68">
      <calculatedColumnFormula>ИсхД!F12*ИсхД!C44+3227.57</calculatedColumnFormula>
    </tableColumn>
    <tableColumn id="4" name="Фев" totalsRowFunction="sum" dataDxfId="67" totalsRowDxfId="66"/>
    <tableColumn id="5" name="Мар" totalsRowFunction="sum" dataDxfId="65" totalsRowDxfId="64"/>
    <tableColumn id="6" name="Апр" totalsRowFunction="sum" dataDxfId="63" totalsRowDxfId="62"/>
    <tableColumn id="7" name="Май" totalsRowFunction="sum" dataDxfId="61" totalsRowDxfId="60"/>
    <tableColumn id="8" name="Июн" totalsRowFunction="sum" dataDxfId="59" totalsRowDxfId="58"/>
    <tableColumn id="9" name="Июл" totalsRowFunction="sum" dataDxfId="57" totalsRowDxfId="56"/>
    <tableColumn id="10" name="Авг" totalsRowFunction="sum" dataDxfId="55" totalsRowDxfId="54"/>
    <tableColumn id="11" name="Сен" totalsRowFunction="sum" dataDxfId="53" totalsRowDxfId="52"/>
    <tableColumn id="12" name="Окт" totalsRowFunction="sum" dataDxfId="51" totalsRowDxfId="50"/>
    <tableColumn id="13" name="Ноя" totalsRowFunction="sum" dataDxfId="49" totalsRowDxfId="48"/>
    <tableColumn id="14" name="Дек" totalsRowFunction="sum" dataDxfId="47" totalsRowDxfId="46"/>
    <tableColumn id="15" name="За год" totalsRowFunction="sum" dataDxfId="45" totalsRowDxfId="44">
      <calculatedColumnFormula>SUM(Себестоимость_продаж[[#This Row],[Янв]:[Дек]])</calculatedColumnFormula>
    </tableColumn>
    <tableColumn id="16" name="Индекс (%)" totalsRowFunction="sum" totalsRowDxfId="43"/>
    <tableColumn id="17" name="Янв (%)" totalsRowFunction="sum" totalsRowDxfId="42" dataCellStyle="Заполнение себестоимости продаж">
      <calculatedColumnFormula>IFERROR(Себестоимость_продаж[[#This Row],[Янв]]/Себестоимость_продаж[[#Totals],[Янв]],"-")</calculatedColumnFormula>
    </tableColumn>
    <tableColumn id="18" name="Фев (%)" totalsRowFunction="sum" totalsRowDxfId="41" dataCellStyle="Заполнение себестоимости продаж">
      <calculatedColumnFormula>IFERROR(Себестоимость_продаж[[#This Row],[Фев]]/Себестоимость_продаж[[#Totals],[Фев]],"-")</calculatedColumnFormula>
    </tableColumn>
    <tableColumn id="19" name="Мар (%)" totalsRowFunction="sum" totalsRowDxfId="40" dataCellStyle="Заполнение себестоимости продаж">
      <calculatedColumnFormula>IFERROR(Себестоимость_продаж[[#This Row],[Мар]]/Себестоимость_продаж[[#Totals],[Мар]],"-")</calculatedColumnFormula>
    </tableColumn>
    <tableColumn id="20" name="Апр (%)" totalsRowFunction="sum" totalsRowDxfId="39" dataCellStyle="Заполнение себестоимости продаж">
      <calculatedColumnFormula>IFERROR(Себестоимость_продаж[[#This Row],[Апр]]/Себестоимость_продаж[[#Totals],[Апр]],"-")</calculatedColumnFormula>
    </tableColumn>
    <tableColumn id="21" name="Май (%)" totalsRowFunction="sum" totalsRowDxfId="38" dataCellStyle="Заполнение себестоимости продаж">
      <calculatedColumnFormula>IFERROR(Себестоимость_продаж[[#This Row],[Май]]/Себестоимость_продаж[[#Totals],[Май]],"-")</calculatedColumnFormula>
    </tableColumn>
    <tableColumn id="22" name="Июн (%)" totalsRowFunction="sum" totalsRowDxfId="37" dataCellStyle="Заполнение себестоимости продаж">
      <calculatedColumnFormula>IFERROR(Себестоимость_продаж[[#This Row],[Июн]]/Себестоимость_продаж[[#Totals],[Июн]],"-")</calculatedColumnFormula>
    </tableColumn>
    <tableColumn id="23" name="Июл (%)" totalsRowFunction="sum" totalsRowDxfId="36" dataCellStyle="Заполнение себестоимости продаж">
      <calculatedColumnFormula>IFERROR(Себестоимость_продаж[[#This Row],[Июл]]/Себестоимость_продаж[[#Totals],[Июл]],"-")</calculatedColumnFormula>
    </tableColumn>
    <tableColumn id="24" name="Авг (%)" totalsRowFunction="sum" totalsRowDxfId="35" dataCellStyle="Заполнение себестоимости продаж">
      <calculatedColumnFormula>IFERROR(Себестоимость_продаж[[#This Row],[Авг]]/Себестоимость_продаж[[#Totals],[Авг]],"-")</calculatedColumnFormula>
    </tableColumn>
    <tableColumn id="25" name="Сен (%)" totalsRowFunction="sum" totalsRowDxfId="34" dataCellStyle="Заполнение себестоимости продаж">
      <calculatedColumnFormula>IFERROR(Себестоимость_продаж[[#This Row],[Сен]]/Себестоимость_продаж[[#Totals],[Сен]],"-")</calculatedColumnFormula>
    </tableColumn>
    <tableColumn id="26" name="Окт (%)" totalsRowFunction="sum" totalsRowDxfId="33" dataCellStyle="Заполнение себестоимости продаж">
      <calculatedColumnFormula>IFERROR(Себестоимость_продаж[[#This Row],[Окт]]/Себестоимость_продаж[[#Totals],[Окт]],"-")</calculatedColumnFormula>
    </tableColumn>
    <tableColumn id="27" name="Ноя (%)" totalsRowFunction="sum" totalsRowDxfId="32" dataCellStyle="Заполнение себестоимости продаж">
      <calculatedColumnFormula>IFERROR(Себестоимость_продаж[[#This Row],[Ноя]]/Себестоимость_продаж[[#Totals],[Ноя]],"-")</calculatedColumnFormula>
    </tableColumn>
    <tableColumn id="28" name="Дек (%)" totalsRowFunction="sum" totalsRowDxfId="31" dataCellStyle="Заполнение себестоимости продаж">
      <calculatedColumnFormula>IFERROR(Себестоимость_продаж[[#This Row],[Дек]]/Себестоимость_продаж[[#Totals],[Дек]],"-")</calculatedColumnFormula>
    </tableColumn>
    <tableColumn id="29" name="Год (%)" totalsRowFunction="sum" totalsRowDxfId="30" dataCellStyle="Заполнение себестоимости продаж">
      <calculatedColumnFormula>IFERROR(Себестоимость_продаж[[#This Row],[За год]]/Себестоимость_продаж[[#Totals],[За год]],"-")</calculatedColumnFormula>
    </tableColumn>
  </tableColumns>
  <tableStyleInfo name="Прибыли и убытки — продажи" showFirstColumn="0" showLastColumn="0" showRowStripes="1" showColumnStripes="0"/>
  <extLst>
    <ext xmlns:x14="http://schemas.microsoft.com/office/spreadsheetml/2009/9/main" uri="{504A1905-F514-4f6f-8877-14C23A59335A}">
      <x14:table altTextSummary="Сводка себестоимости продаж, годовой итог и помесячный процент по каждой статье затрат"/>
    </ext>
  </extLst>
</table>
</file>

<file path=xl/tables/table3.xml><?xml version="1.0" encoding="utf-8"?>
<table xmlns="http://schemas.openxmlformats.org/spreadsheetml/2006/main" id="8" name="tblExpenses" displayName="tblExpenses" ref="B4:AD24" totalsRowCount="1">
  <tableColumns count="29">
    <tableColumn id="1" name="РАСХОДЫ" totalsRowLabel="ОБЩИЕ РАСХОДЫ" totalsRowDxfId="29"/>
    <tableColumn id="2" name="ТРЕНД" totalsRowLabel=" " dataDxfId="28" totalsRowDxfId="27" dataCellStyle="Заполнение расходов"/>
    <tableColumn id="3" name="Столбец1" totalsRowFunction="sum" totalsRowDxfId="26"/>
    <tableColumn id="4" name="Фев" totalsRowFunction="sum" totalsRowDxfId="25"/>
    <tableColumn id="5" name="Мар" totalsRowFunction="sum" totalsRowDxfId="24"/>
    <tableColumn id="6" name="Апр" totalsRowFunction="sum" totalsRowDxfId="23"/>
    <tableColumn id="7" name="Май" totalsRowFunction="sum" totalsRowDxfId="22"/>
    <tableColumn id="8" name="Июн" totalsRowFunction="sum" totalsRowDxfId="21"/>
    <tableColumn id="9" name="Июл" totalsRowFunction="sum" totalsRowDxfId="20"/>
    <tableColumn id="10" name="Авг" totalsRowFunction="sum" totalsRowDxfId="19"/>
    <tableColumn id="11" name="Сен" totalsRowFunction="sum" totalsRowDxfId="18"/>
    <tableColumn id="12" name="Окт" totalsRowFunction="sum" totalsRowDxfId="17"/>
    <tableColumn id="13" name="Ноя" totalsRowFunction="sum" totalsRowDxfId="16"/>
    <tableColumn id="14" name="Дек" totalsRowFunction="sum" totalsRowDxfId="15"/>
    <tableColumn id="15" name="За год" totalsRowFunction="sum" totalsRowDxfId="14">
      <calculatedColumnFormula>SUM(tblExpenses[[#This Row],[Столбец1]:[Дек]])</calculatedColumnFormula>
    </tableColumn>
    <tableColumn id="16" name="Индекс (%)" totalsRowFunction="sum" totalsRowDxfId="13"/>
    <tableColumn id="17" name="Янв (%)" totalsRowFunction="sum" totalsRowDxfId="12">
      <calculatedColumnFormula>tblExpenses[[#This Row],[Столбец1]]/tblExpenses[[#Totals],[Столбец1]]</calculatedColumnFormula>
    </tableColumn>
    <tableColumn id="18" name="Фев (%)" totalsRowFunction="sum" totalsRowDxfId="11">
      <calculatedColumnFormula>tblExpenses[[#This Row],[Фев]]/tblExpenses[[#Totals],[Фев]]</calculatedColumnFormula>
    </tableColumn>
    <tableColumn id="19" name="Мар (%)" totalsRowFunction="sum" totalsRowDxfId="10">
      <calculatedColumnFormula>tblExpenses[[#This Row],[Мар]]/tblExpenses[[#Totals],[Мар]]</calculatedColumnFormula>
    </tableColumn>
    <tableColumn id="20" name="Апр (%)" totalsRowFunction="sum" totalsRowDxfId="9">
      <calculatedColumnFormula>tblExpenses[[#This Row],[Апр]]/tblExpenses[[#Totals],[Апр]]</calculatedColumnFormula>
    </tableColumn>
    <tableColumn id="21" name="Май (%)" totalsRowFunction="sum" totalsRowDxfId="8">
      <calculatedColumnFormula>tblExpenses[[#This Row],[Май]]/tblExpenses[[#Totals],[Май]]</calculatedColumnFormula>
    </tableColumn>
    <tableColumn id="22" name="Июн (%)" totalsRowFunction="sum" totalsRowDxfId="7">
      <calculatedColumnFormula>tblExpenses[[#This Row],[Июн]]/tblExpenses[[#Totals],[Июн]]</calculatedColumnFormula>
    </tableColumn>
    <tableColumn id="23" name="Июл (%)" totalsRowFunction="sum" totalsRowDxfId="6">
      <calculatedColumnFormula>tblExpenses[[#This Row],[Июл]]/tblExpenses[[#Totals],[Июл]]</calculatedColumnFormula>
    </tableColumn>
    <tableColumn id="24" name="Авг (%)" totalsRowFunction="sum" totalsRowDxfId="5">
      <calculatedColumnFormula>tblExpenses[[#This Row],[Авг]]/tblExpenses[[#Totals],[Авг]]</calculatedColumnFormula>
    </tableColumn>
    <tableColumn id="25" name="Сен (%)" totalsRowFunction="sum" totalsRowDxfId="4">
      <calculatedColumnFormula>tblExpenses[[#This Row],[Сен]]/tblExpenses[[#Totals],[Сен]]</calculatedColumnFormula>
    </tableColumn>
    <tableColumn id="26" name="Окт (%)" totalsRowFunction="sum" totalsRowDxfId="3">
      <calculatedColumnFormula>tblExpenses[[#This Row],[Окт]]/tblExpenses[[#Totals],[Окт]]</calculatedColumnFormula>
    </tableColumn>
    <tableColumn id="27" name="Ноя (%)" totalsRowFunction="sum" totalsRowDxfId="2">
      <calculatedColumnFormula>tblExpenses[[#This Row],[Ноя]]/tblExpenses[[#Totals],[Ноя]]</calculatedColumnFormula>
    </tableColumn>
    <tableColumn id="28" name="Дек (%)" totalsRowFunction="sum" totalsRowDxfId="1">
      <calculatedColumnFormula>tblExpenses[[#This Row],[Дек]]/tblExpenses[[#Totals],[Дек]]</calculatedColumnFormula>
    </tableColumn>
    <tableColumn id="29" name="Год (%)" totalsRowFunction="sum" totalsRowDxfId="0">
      <calculatedColumnFormula>tblExpenses[[#This Row],[За год]]/tblExpenses[[#Totals],[За год]]</calculatedColumnFormula>
    </tableColumn>
  </tableColumns>
  <tableStyleInfo name="Прибыли и убытки — расходы" showFirstColumn="0" showLastColumn="0" showRowStripes="1" showColumnStripes="0"/>
  <extLst>
    <ext xmlns:x14="http://schemas.microsoft.com/office/spreadsheetml/2009/9/main" uri="{504A1905-F514-4f6f-8877-14C23A59335A}">
      <x14:table altTextSummary="Сводка расходов, годовой итог и помесячный процент по каждой статье расходов"/>
    </ext>
  </extLst>
</table>
</file>

<file path=xl/theme/theme1.xml><?xml version="1.0" encoding="utf-8"?>
<a:theme xmlns:a="http://schemas.openxmlformats.org/drawingml/2006/main" name="Office Theme">
  <a:themeElements>
    <a:clrScheme name="Profit and Loss">
      <a:dk1>
        <a:sysClr val="windowText" lastClr="000000"/>
      </a:dk1>
      <a:lt1>
        <a:srgbClr val="FFFFFF"/>
      </a:lt1>
      <a:dk2>
        <a:srgbClr val="38321C"/>
      </a:dk2>
      <a:lt2>
        <a:srgbClr val="FFFFFF"/>
      </a:lt2>
      <a:accent1>
        <a:srgbClr val="DE8D26"/>
      </a:accent1>
      <a:accent2>
        <a:srgbClr val="2F7B6A"/>
      </a:accent2>
      <a:accent3>
        <a:srgbClr val="3BA0D6"/>
      </a:accent3>
      <a:accent4>
        <a:srgbClr val="8E9ACA"/>
      </a:accent4>
      <a:accent5>
        <a:srgbClr val="6F6857"/>
      </a:accent5>
      <a:accent6>
        <a:srgbClr val="F79646"/>
      </a:accent6>
      <a:hlink>
        <a:srgbClr val="0000FF"/>
      </a:hlink>
      <a:folHlink>
        <a:srgbClr val="800080"/>
      </a:folHlink>
    </a:clrScheme>
    <a:fontScheme name="Profit Loss Statement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autoPageBreaks="0" fitToPage="1"/>
  </sheetPr>
  <dimension ref="A1:AD13"/>
  <sheetViews>
    <sheetView showGridLines="0" tabSelected="1" zoomScaleNormal="100" workbookViewId="0">
      <pane ySplit="3" topLeftCell="A4" activePane="bottomLeft" state="frozen"/>
      <selection activeCell="P1" sqref="P1:P1048576"/>
      <selection pane="bottomLeft" activeCell="B9" sqref="B9"/>
    </sheetView>
  </sheetViews>
  <sheetFormatPr defaultColWidth="9" defaultRowHeight="30" customHeight="1" x14ac:dyDescent="0.25"/>
  <cols>
    <col min="1" max="1" width="2.59765625" style="38" customWidth="1"/>
    <col min="2" max="2" width="32.8984375" style="38" customWidth="1"/>
    <col min="3" max="3" width="12.59765625" style="38" customWidth="1"/>
    <col min="4" max="15" width="10.8984375" style="38" customWidth="1"/>
    <col min="16" max="16" width="12.09765625" style="38" customWidth="1"/>
    <col min="17" max="17" width="9.19921875" style="38" bestFit="1" customWidth="1"/>
    <col min="18" max="29" width="8.69921875" style="38" customWidth="1"/>
    <col min="30" max="30" width="9.8984375" style="38" customWidth="1"/>
    <col min="31" max="31" width="2.59765625" style="38" customWidth="1"/>
    <col min="32" max="16384" width="9" style="38"/>
  </cols>
  <sheetData>
    <row r="1" spans="1:30" ht="35.1" customHeight="1" x14ac:dyDescent="0.25">
      <c r="A1" s="36"/>
      <c r="B1" s="37" t="s">
        <v>0</v>
      </c>
      <c r="J1" s="39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1" t="s">
        <v>35</v>
      </c>
    </row>
    <row r="2" spans="1:30" ht="60" customHeight="1" x14ac:dyDescent="0.25">
      <c r="B2" s="42" t="s">
        <v>1</v>
      </c>
      <c r="E2" s="43"/>
      <c r="G2" s="43"/>
      <c r="K2" s="43"/>
      <c r="L2" s="43"/>
      <c r="M2" s="43"/>
      <c r="N2" s="43"/>
      <c r="O2" s="43"/>
      <c r="X2" s="44"/>
      <c r="Y2" s="44"/>
      <c r="Z2" s="44"/>
      <c r="AA2" s="44"/>
      <c r="AB2" s="45" t="s">
        <v>31</v>
      </c>
      <c r="AC2" s="45" t="s">
        <v>33</v>
      </c>
      <c r="AD2" s="46">
        <f ca="1">YEAR(TODAY())</f>
        <v>2019</v>
      </c>
    </row>
    <row r="3" spans="1:30" ht="20.100000000000001" customHeight="1" x14ac:dyDescent="0.25">
      <c r="D3" s="47" t="str">
        <f ca="1">UPPER(TEXT(DATE(FYStartYear,FYMonthNo,1),"ГГ МММ"))</f>
        <v>19 ЯНВ</v>
      </c>
      <c r="E3" s="47" t="str">
        <f ca="1">UPPER(TEXT(DATE(FYStartYear,FYMonthNo+1,1),"ГГ МММ"))</f>
        <v>19 ФЕВ</v>
      </c>
      <c r="F3" s="47" t="str">
        <f ca="1">UPPER(TEXT(DATE(FYStartYear,FYMonthNo+2,1),"ГГ МММ"))</f>
        <v>19 МАР</v>
      </c>
      <c r="G3" s="47" t="str">
        <f ca="1">UPPER(TEXT(DATE(FYStartYear,FYMonthNo+3,1),"ГГ МММ"))</f>
        <v>19 АПР</v>
      </c>
      <c r="H3" s="47" t="str">
        <f ca="1">UPPER(TEXT(DATE(FYStartYear,FYMonthNo+4,1),"ГГ МММ"))</f>
        <v>19 МАЙ</v>
      </c>
      <c r="I3" s="47" t="str">
        <f ca="1">UPPER(TEXT(DATE(FYStartYear,FYMonthNo+5,1),"ГГ МММ"))</f>
        <v>19 ИЮН</v>
      </c>
      <c r="J3" s="47" t="str">
        <f ca="1">UPPER(TEXT(DATE(FYStartYear,FYMonthNo+6,1),"ГГ МММ"))</f>
        <v>19 ИЮЛ</v>
      </c>
      <c r="K3" s="47" t="str">
        <f ca="1">UPPER(TEXT(DATE(FYStartYear,FYMonthNo+7,1),"ГГ МММ"))</f>
        <v>19 АВГ</v>
      </c>
      <c r="L3" s="47" t="str">
        <f ca="1">UPPER(TEXT(DATE(FYStartYear,FYMonthNo+8,1),"ГГ МММ"))</f>
        <v>19 СЕН</v>
      </c>
      <c r="M3" s="47" t="str">
        <f ca="1">UPPER(TEXT(DATE(FYStartYear,FYMonthNo+9,1),"ГГ МММ"))</f>
        <v>19 ОКТ</v>
      </c>
      <c r="N3" s="47" t="str">
        <f ca="1">UPPER(TEXT(DATE(FYStartYear,FYMonthNo+10,1),"ГГ МММ"))</f>
        <v>19 НОЯ</v>
      </c>
      <c r="O3" s="47" t="str">
        <f ca="1">UPPER(TEXT(DATE(FYStartYear,FYMonthNo+11,1),"ГГ МММ"))</f>
        <v>19 ДЕК</v>
      </c>
      <c r="P3" s="47" t="s">
        <v>17</v>
      </c>
      <c r="Q3" s="47" t="s">
        <v>19</v>
      </c>
      <c r="R3" s="47" t="str">
        <f ca="1">RIGHT(D3,3)&amp;" %"</f>
        <v>ЯНВ %</v>
      </c>
      <c r="S3" s="47" t="str">
        <f ca="1">RIGHT(E3,3)&amp;" %"</f>
        <v>ФЕВ %</v>
      </c>
      <c r="T3" s="47" t="str">
        <f ca="1">RIGHT(F3,3)&amp;" %"</f>
        <v>МАР %</v>
      </c>
      <c r="U3" s="47" t="str">
        <f ca="1">RIGHT(G3,3)&amp;" %"</f>
        <v>АПР %</v>
      </c>
      <c r="V3" s="47" t="str">
        <f t="shared" ref="V3:AC3" ca="1" si="0">RIGHT(H3,3)&amp;" %"</f>
        <v>МАЙ %</v>
      </c>
      <c r="W3" s="47" t="str">
        <f t="shared" ca="1" si="0"/>
        <v>ИЮН %</v>
      </c>
      <c r="X3" s="47" t="str">
        <f t="shared" ca="1" si="0"/>
        <v>ИЮЛ %</v>
      </c>
      <c r="Y3" s="47" t="str">
        <f t="shared" ca="1" si="0"/>
        <v>АВГ %</v>
      </c>
      <c r="Z3" s="47" t="str">
        <f t="shared" ca="1" si="0"/>
        <v>СЕН %</v>
      </c>
      <c r="AA3" s="47" t="str">
        <f t="shared" ca="1" si="0"/>
        <v>ОКТ %</v>
      </c>
      <c r="AB3" s="47" t="str">
        <f t="shared" ca="1" si="0"/>
        <v>НОЯ %</v>
      </c>
      <c r="AC3" s="47" t="str">
        <f t="shared" ca="1" si="0"/>
        <v>ДЕК %</v>
      </c>
      <c r="AD3" s="47" t="s">
        <v>36</v>
      </c>
    </row>
    <row r="4" spans="1:30" ht="30" customHeight="1" x14ac:dyDescent="0.25">
      <c r="B4" s="48" t="s">
        <v>2</v>
      </c>
      <c r="C4" s="48" t="s">
        <v>4</v>
      </c>
      <c r="D4" s="49" t="s">
        <v>5</v>
      </c>
      <c r="E4" s="49" t="s">
        <v>6</v>
      </c>
      <c r="F4" s="49" t="s">
        <v>7</v>
      </c>
      <c r="G4" s="49" t="s">
        <v>8</v>
      </c>
      <c r="H4" s="49" t="s">
        <v>9</v>
      </c>
      <c r="I4" s="49" t="s">
        <v>10</v>
      </c>
      <c r="J4" s="49" t="s">
        <v>11</v>
      </c>
      <c r="K4" s="49" t="s">
        <v>12</v>
      </c>
      <c r="L4" s="49" t="s">
        <v>13</v>
      </c>
      <c r="M4" s="49" t="s">
        <v>14</v>
      </c>
      <c r="N4" s="49" t="s">
        <v>15</v>
      </c>
      <c r="O4" s="49" t="s">
        <v>16</v>
      </c>
      <c r="P4" s="49" t="s">
        <v>18</v>
      </c>
      <c r="Q4" s="50" t="s">
        <v>20</v>
      </c>
      <c r="R4" s="50" t="s">
        <v>21</v>
      </c>
      <c r="S4" s="50" t="s">
        <v>22</v>
      </c>
      <c r="T4" s="50" t="s">
        <v>23</v>
      </c>
      <c r="U4" s="50" t="s">
        <v>24</v>
      </c>
      <c r="V4" s="50" t="s">
        <v>25</v>
      </c>
      <c r="W4" s="50" t="s">
        <v>26</v>
      </c>
      <c r="X4" s="50" t="s">
        <v>27</v>
      </c>
      <c r="Y4" s="50" t="s">
        <v>28</v>
      </c>
      <c r="Z4" s="50" t="s">
        <v>29</v>
      </c>
      <c r="AA4" s="50" t="s">
        <v>30</v>
      </c>
      <c r="AB4" s="50" t="s">
        <v>32</v>
      </c>
      <c r="AC4" s="50" t="s">
        <v>34</v>
      </c>
      <c r="AD4" s="49" t="s">
        <v>37</v>
      </c>
    </row>
    <row r="5" spans="1:30" ht="30" customHeight="1" x14ac:dyDescent="0.25">
      <c r="B5" s="57" t="s">
        <v>57</v>
      </c>
      <c r="C5" s="51"/>
      <c r="D5" s="65">
        <f>ИсхД!J12</f>
        <v>5265</v>
      </c>
      <c r="E5" s="52">
        <f>Доходы[[#This Row],[Янв]]</f>
        <v>5265</v>
      </c>
      <c r="F5" s="52">
        <f>Доходы[[#This Row],[Янв]]</f>
        <v>5265</v>
      </c>
      <c r="G5" s="52">
        <f>Доходы[[#This Row],[Янв]]</f>
        <v>5265</v>
      </c>
      <c r="H5" s="52">
        <f>Доходы[[#This Row],[Янв]]</f>
        <v>5265</v>
      </c>
      <c r="I5" s="52">
        <f>Доходы[[#This Row],[Янв]]</f>
        <v>5265</v>
      </c>
      <c r="J5" s="52">
        <f>Доходы[[#This Row],[Янв]]</f>
        <v>5265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3">
        <f>SUM(Доходы[[#This Row],[Янв]:[Дек]])</f>
        <v>36855</v>
      </c>
      <c r="Q5" s="54">
        <v>0.12</v>
      </c>
      <c r="R5" s="55">
        <f>IFERROR(Доходы[[#This Row],[Янв]]/Доходы[[#Totals],[Янв]],"-")</f>
        <v>3.4090495210576797E-2</v>
      </c>
      <c r="S5" s="55">
        <f>IFERROR(Доходы[[#This Row],[Фев]]/Доходы[[#Totals],[Фев]],"-")</f>
        <v>3.4090495210576797E-2</v>
      </c>
      <c r="T5" s="55">
        <f>IFERROR(Доходы[[#This Row],[Мар]]/Доходы[[#Totals],[Мар]],"-")</f>
        <v>3.4090495210576797E-2</v>
      </c>
      <c r="U5" s="55">
        <f>IFERROR(Доходы[[#This Row],[Апр]]/Доходы[[#Totals],[Апр]],"-")</f>
        <v>3.4090495210576797E-2</v>
      </c>
      <c r="V5" s="55">
        <f>IFERROR(Доходы[[#This Row],[Май]]/Доходы[[#Totals],[Май]],"-")</f>
        <v>3.4090495210576797E-2</v>
      </c>
      <c r="W5" s="55">
        <f>IFERROR(Доходы[[#This Row],[Июн]]/Доходы[[#Totals],[Июн]],"-")</f>
        <v>3.4090495210576797E-2</v>
      </c>
      <c r="X5" s="55">
        <f>IFERROR(Доходы[[#This Row],[Июл]]/Доходы[[#Totals],[Июл]],"-")</f>
        <v>3.4090495210576797E-2</v>
      </c>
      <c r="Y5" s="55" t="str">
        <f>IFERROR(Доходы[[#This Row],[Авг]]/Доходы[[#Totals],[Авг]],"-")</f>
        <v>-</v>
      </c>
      <c r="Z5" s="55" t="str">
        <f>IFERROR(Доходы[[#This Row],[Сен]]/Доходы[[#Totals],[Сен]],"-")</f>
        <v>-</v>
      </c>
      <c r="AA5" s="55" t="str">
        <f>IFERROR(Доходы[[#This Row],[Окт]]/Доходы[[#Totals],[Окт]],"-")</f>
        <v>-</v>
      </c>
      <c r="AB5" s="55" t="str">
        <f>IFERROR(Доходы[[#This Row],[Ноя]]/Доходы[[#Totals],[Ноя]],"-")</f>
        <v>-</v>
      </c>
      <c r="AC5" s="55" t="str">
        <f>IFERROR(Доходы[[#This Row],[Дек]]/Доходы[[#Totals],[Дек]],"-")</f>
        <v>-</v>
      </c>
      <c r="AD5" s="56">
        <f>IFERROR(Доходы[[#This Row],[За год]]/Доходы[[#Totals],[За год]],"-")</f>
        <v>3.4090495210576797E-2</v>
      </c>
    </row>
    <row r="6" spans="1:30" ht="30" customHeight="1" x14ac:dyDescent="0.25">
      <c r="B6" s="57" t="s">
        <v>58</v>
      </c>
      <c r="C6" s="51"/>
      <c r="D6" s="65">
        <f>ИсхД!J13</f>
        <v>13490.625</v>
      </c>
      <c r="E6" s="52">
        <f>Доходы[[#This Row],[Янв]]</f>
        <v>13490.625</v>
      </c>
      <c r="F6" s="52">
        <f>Доходы[[#This Row],[Янв]]</f>
        <v>13490.625</v>
      </c>
      <c r="G6" s="52">
        <f>Доходы[[#This Row],[Янв]]</f>
        <v>13490.625</v>
      </c>
      <c r="H6" s="52">
        <f>Доходы[[#This Row],[Янв]]</f>
        <v>13490.625</v>
      </c>
      <c r="I6" s="52">
        <f>Доходы[[#This Row],[Янв]]</f>
        <v>13490.625</v>
      </c>
      <c r="J6" s="52">
        <f>Доходы[[#This Row],[Янв]]</f>
        <v>13490.625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3">
        <f>SUM(Доходы[[#This Row],[Янв]:[Дек]])</f>
        <v>94434.375</v>
      </c>
      <c r="Q6" s="54">
        <v>0.18</v>
      </c>
      <c r="R6" s="55">
        <f>IFERROR(Доходы[[#This Row],[Янв]]/Доходы[[#Totals],[Янв]],"-")</f>
        <v>8.7350823732229355E-2</v>
      </c>
      <c r="S6" s="55">
        <f>IFERROR(Доходы[[#This Row],[Фев]]/Доходы[[#Totals],[Фев]],"-")</f>
        <v>8.7350823732229355E-2</v>
      </c>
      <c r="T6" s="55">
        <f>IFERROR(Доходы[[#This Row],[Мар]]/Доходы[[#Totals],[Мар]],"-")</f>
        <v>8.7350823732229355E-2</v>
      </c>
      <c r="U6" s="55">
        <f>IFERROR(Доходы[[#This Row],[Апр]]/Доходы[[#Totals],[Апр]],"-")</f>
        <v>8.7350823732229355E-2</v>
      </c>
      <c r="V6" s="55">
        <f>IFERROR(Доходы[[#This Row],[Май]]/Доходы[[#Totals],[Май]],"-")</f>
        <v>8.7350823732229355E-2</v>
      </c>
      <c r="W6" s="55">
        <f>IFERROR(Доходы[[#This Row],[Июн]]/Доходы[[#Totals],[Июн]],"-")</f>
        <v>8.7350823732229355E-2</v>
      </c>
      <c r="X6" s="55">
        <f>IFERROR(Доходы[[#This Row],[Июл]]/Доходы[[#Totals],[Июл]],"-")</f>
        <v>8.7350823732229355E-2</v>
      </c>
      <c r="Y6" s="55" t="str">
        <f>IFERROR(Доходы[[#This Row],[Авг]]/Доходы[[#Totals],[Авг]],"-")</f>
        <v>-</v>
      </c>
      <c r="Z6" s="55" t="str">
        <f>IFERROR(Доходы[[#This Row],[Сен]]/Доходы[[#Totals],[Сен]],"-")</f>
        <v>-</v>
      </c>
      <c r="AA6" s="55" t="str">
        <f>IFERROR(Доходы[[#This Row],[Окт]]/Доходы[[#Totals],[Окт]],"-")</f>
        <v>-</v>
      </c>
      <c r="AB6" s="55" t="str">
        <f>IFERROR(Доходы[[#This Row],[Ноя]]/Доходы[[#Totals],[Ноя]],"-")</f>
        <v>-</v>
      </c>
      <c r="AC6" s="55" t="str">
        <f>IFERROR(Доходы[[#This Row],[Дек]]/Доходы[[#Totals],[Дек]],"-")</f>
        <v>-</v>
      </c>
      <c r="AD6" s="56">
        <f>IFERROR(Доходы[[#This Row],[За год]]/Доходы[[#Totals],[За год]],"-")</f>
        <v>8.7350823732229355E-2</v>
      </c>
    </row>
    <row r="7" spans="1:30" ht="30" customHeight="1" x14ac:dyDescent="0.25">
      <c r="B7" s="57" t="s">
        <v>59</v>
      </c>
      <c r="C7" s="51"/>
      <c r="D7" s="65">
        <f>ИсхД!J14</f>
        <v>16188.75</v>
      </c>
      <c r="E7" s="52">
        <f>Доходы[[#This Row],[Янв]]</f>
        <v>16188.75</v>
      </c>
      <c r="F7" s="52">
        <f>Доходы[[#This Row],[Янв]]</f>
        <v>16188.75</v>
      </c>
      <c r="G7" s="52">
        <f>Доходы[[#This Row],[Янв]]</f>
        <v>16188.75</v>
      </c>
      <c r="H7" s="52">
        <f>Доходы[[#This Row],[Янв]]</f>
        <v>16188.75</v>
      </c>
      <c r="I7" s="52">
        <f>Доходы[[#This Row],[Янв]]</f>
        <v>16188.75</v>
      </c>
      <c r="J7" s="52">
        <f>Доходы[[#This Row],[Янв]]</f>
        <v>16188.75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f>SUM(Доходы[[#This Row],[Янв]:[Дек]])</f>
        <v>113321.25</v>
      </c>
      <c r="Q7" s="54">
        <v>0.19</v>
      </c>
      <c r="R7" s="55">
        <f>IFERROR(Доходы[[#This Row],[Янв]]/Доходы[[#Totals],[Янв]],"-")</f>
        <v>0.10482098847867523</v>
      </c>
      <c r="S7" s="55">
        <f>IFERROR(Доходы[[#This Row],[Фев]]/Доходы[[#Totals],[Фев]],"-")</f>
        <v>0.10482098847867523</v>
      </c>
      <c r="T7" s="55">
        <f>IFERROR(Доходы[[#This Row],[Мар]]/Доходы[[#Totals],[Мар]],"-")</f>
        <v>0.10482098847867523</v>
      </c>
      <c r="U7" s="55">
        <f>IFERROR(Доходы[[#This Row],[Апр]]/Доходы[[#Totals],[Апр]],"-")</f>
        <v>0.10482098847867523</v>
      </c>
      <c r="V7" s="55">
        <f>IFERROR(Доходы[[#This Row],[Май]]/Доходы[[#Totals],[Май]],"-")</f>
        <v>0.10482098847867523</v>
      </c>
      <c r="W7" s="55">
        <f>IFERROR(Доходы[[#This Row],[Июн]]/Доходы[[#Totals],[Июн]],"-")</f>
        <v>0.10482098847867523</v>
      </c>
      <c r="X7" s="55">
        <f>IFERROR(Доходы[[#This Row],[Июл]]/Доходы[[#Totals],[Июл]],"-")</f>
        <v>0.10482098847867523</v>
      </c>
      <c r="Y7" s="55" t="str">
        <f>IFERROR(Доходы[[#This Row],[Авг]]/Доходы[[#Totals],[Авг]],"-")</f>
        <v>-</v>
      </c>
      <c r="Z7" s="55" t="str">
        <f>IFERROR(Доходы[[#This Row],[Сен]]/Доходы[[#Totals],[Сен]],"-")</f>
        <v>-</v>
      </c>
      <c r="AA7" s="55" t="str">
        <f>IFERROR(Доходы[[#This Row],[Окт]]/Доходы[[#Totals],[Окт]],"-")</f>
        <v>-</v>
      </c>
      <c r="AB7" s="55" t="str">
        <f>IFERROR(Доходы[[#This Row],[Ноя]]/Доходы[[#Totals],[Ноя]],"-")</f>
        <v>-</v>
      </c>
      <c r="AC7" s="55" t="str">
        <f>IFERROR(Доходы[[#This Row],[Дек]]/Доходы[[#Totals],[Дек]],"-")</f>
        <v>-</v>
      </c>
      <c r="AD7" s="56">
        <f>IFERROR(Доходы[[#This Row],[За год]]/Доходы[[#Totals],[За год]],"-")</f>
        <v>0.10482098847867523</v>
      </c>
    </row>
    <row r="8" spans="1:30" ht="30" customHeight="1" x14ac:dyDescent="0.25">
      <c r="B8" s="57" t="s">
        <v>60</v>
      </c>
      <c r="C8" s="51"/>
      <c r="D8" s="65">
        <f>ИсхД!J15</f>
        <v>19771.875</v>
      </c>
      <c r="E8" s="52">
        <f>Доходы[[#This Row],[Янв]]</f>
        <v>19771.875</v>
      </c>
      <c r="F8" s="52">
        <f>Доходы[[#This Row],[Янв]]</f>
        <v>19771.875</v>
      </c>
      <c r="G8" s="52">
        <f>Доходы[[#This Row],[Янв]]</f>
        <v>19771.875</v>
      </c>
      <c r="H8" s="52">
        <f>Доходы[[#This Row],[Янв]]</f>
        <v>19771.875</v>
      </c>
      <c r="I8" s="52">
        <f>Доходы[[#This Row],[Янв]]</f>
        <v>19771.875</v>
      </c>
      <c r="J8" s="52">
        <f>Доходы[[#This Row],[Янв]]</f>
        <v>19771.875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f>SUM(Доходы[[#This Row],[Янв]:[Дек]])</f>
        <v>138403.125</v>
      </c>
      <c r="Q8" s="54">
        <v>0.11</v>
      </c>
      <c r="R8" s="55">
        <f>IFERROR(Доходы[[#This Row],[Янв]]/Доходы[[#Totals],[Янв]],"-")</f>
        <v>0.12802146438587333</v>
      </c>
      <c r="S8" s="55">
        <f>IFERROR(Доходы[[#This Row],[Фев]]/Доходы[[#Totals],[Фев]],"-")</f>
        <v>0.12802146438587333</v>
      </c>
      <c r="T8" s="55">
        <f>IFERROR(Доходы[[#This Row],[Мар]]/Доходы[[#Totals],[Мар]],"-")</f>
        <v>0.12802146438587333</v>
      </c>
      <c r="U8" s="55">
        <f>IFERROR(Доходы[[#This Row],[Апр]]/Доходы[[#Totals],[Апр]],"-")</f>
        <v>0.12802146438587333</v>
      </c>
      <c r="V8" s="55">
        <f>IFERROR(Доходы[[#This Row],[Май]]/Доходы[[#Totals],[Май]],"-")</f>
        <v>0.12802146438587333</v>
      </c>
      <c r="W8" s="55">
        <f>IFERROR(Доходы[[#This Row],[Июн]]/Доходы[[#Totals],[Июн]],"-")</f>
        <v>0.12802146438587333</v>
      </c>
      <c r="X8" s="55">
        <f>IFERROR(Доходы[[#This Row],[Июл]]/Доходы[[#Totals],[Июл]],"-")</f>
        <v>0.12802146438587333</v>
      </c>
      <c r="Y8" s="55" t="str">
        <f>IFERROR(Доходы[[#This Row],[Авг]]/Доходы[[#Totals],[Авг]],"-")</f>
        <v>-</v>
      </c>
      <c r="Z8" s="55" t="str">
        <f>IFERROR(Доходы[[#This Row],[Сен]]/Доходы[[#Totals],[Сен]],"-")</f>
        <v>-</v>
      </c>
      <c r="AA8" s="55" t="str">
        <f>IFERROR(Доходы[[#This Row],[Окт]]/Доходы[[#Totals],[Окт]],"-")</f>
        <v>-</v>
      </c>
      <c r="AB8" s="55" t="str">
        <f>IFERROR(Доходы[[#This Row],[Ноя]]/Доходы[[#Totals],[Ноя]],"-")</f>
        <v>-</v>
      </c>
      <c r="AC8" s="55" t="str">
        <f>IFERROR(Доходы[[#This Row],[Дек]]/Доходы[[#Totals],[Дек]],"-")</f>
        <v>-</v>
      </c>
      <c r="AD8" s="56">
        <f>IFERROR(Доходы[[#This Row],[За год]]/Доходы[[#Totals],[За год]],"-")</f>
        <v>0.12802146438587333</v>
      </c>
    </row>
    <row r="9" spans="1:30" ht="30" customHeight="1" x14ac:dyDescent="0.25">
      <c r="B9" s="57" t="s">
        <v>61</v>
      </c>
      <c r="C9" s="51"/>
      <c r="D9" s="65">
        <f>ИсхД!J16</f>
        <v>4365.625</v>
      </c>
      <c r="E9" s="52">
        <f>Доходы[[#This Row],[Янв]]</f>
        <v>4365.625</v>
      </c>
      <c r="F9" s="52">
        <f>Доходы[[#This Row],[Янв]]</f>
        <v>4365.625</v>
      </c>
      <c r="G9" s="52">
        <f>Доходы[[#This Row],[Янв]]</f>
        <v>4365.625</v>
      </c>
      <c r="H9" s="52">
        <f>Доходы[[#This Row],[Янв]]</f>
        <v>4365.625</v>
      </c>
      <c r="I9" s="52">
        <f>Доходы[[#This Row],[Янв]]</f>
        <v>4365.625</v>
      </c>
      <c r="J9" s="52">
        <f>Доходы[[#This Row],[Янв]]</f>
        <v>4365.625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f>SUM(Доходы[[#This Row],[Янв]:[Дек]])</f>
        <v>30559.375</v>
      </c>
      <c r="Q9" s="54">
        <v>0.2</v>
      </c>
      <c r="R9" s="55">
        <f>IFERROR(Доходы[[#This Row],[Янв]]/Доходы[[#Totals],[Янв]],"-")</f>
        <v>2.8267106961761504E-2</v>
      </c>
      <c r="S9" s="55">
        <f>IFERROR(Доходы[[#This Row],[Фев]]/Доходы[[#Totals],[Фев]],"-")</f>
        <v>2.8267106961761504E-2</v>
      </c>
      <c r="T9" s="55">
        <f>IFERROR(Доходы[[#This Row],[Мар]]/Доходы[[#Totals],[Мар]],"-")</f>
        <v>2.8267106961761504E-2</v>
      </c>
      <c r="U9" s="55">
        <f>IFERROR(Доходы[[#This Row],[Апр]]/Доходы[[#Totals],[Апр]],"-")</f>
        <v>2.8267106961761504E-2</v>
      </c>
      <c r="V9" s="55">
        <f>IFERROR(Доходы[[#This Row],[Май]]/Доходы[[#Totals],[Май]],"-")</f>
        <v>2.8267106961761504E-2</v>
      </c>
      <c r="W9" s="55">
        <f>IFERROR(Доходы[[#This Row],[Июн]]/Доходы[[#Totals],[Июн]],"-")</f>
        <v>2.8267106961761504E-2</v>
      </c>
      <c r="X9" s="55">
        <f>IFERROR(Доходы[[#This Row],[Июл]]/Доходы[[#Totals],[Июл]],"-")</f>
        <v>2.8267106961761504E-2</v>
      </c>
      <c r="Y9" s="55" t="str">
        <f>IFERROR(Доходы[[#This Row],[Авг]]/Доходы[[#Totals],[Авг]],"-")</f>
        <v>-</v>
      </c>
      <c r="Z9" s="55" t="str">
        <f>IFERROR(Доходы[[#This Row],[Сен]]/Доходы[[#Totals],[Сен]],"-")</f>
        <v>-</v>
      </c>
      <c r="AA9" s="55" t="str">
        <f>IFERROR(Доходы[[#This Row],[Окт]]/Доходы[[#Totals],[Окт]],"-")</f>
        <v>-</v>
      </c>
      <c r="AB9" s="55" t="str">
        <f>IFERROR(Доходы[[#This Row],[Ноя]]/Доходы[[#Totals],[Ноя]],"-")</f>
        <v>-</v>
      </c>
      <c r="AC9" s="55" t="str">
        <f>IFERROR(Доходы[[#This Row],[Дек]]/Доходы[[#Totals],[Дек]],"-")</f>
        <v>-</v>
      </c>
      <c r="AD9" s="56">
        <f>IFERROR(Доходы[[#This Row],[За год]]/Доходы[[#Totals],[За год]],"-")</f>
        <v>2.8267106961761504E-2</v>
      </c>
    </row>
    <row r="10" spans="1:30" ht="30" customHeight="1" x14ac:dyDescent="0.25">
      <c r="B10" s="57" t="s">
        <v>62</v>
      </c>
      <c r="C10" s="51"/>
      <c r="D10" s="65">
        <f>ИсхД!J17</f>
        <v>5360</v>
      </c>
      <c r="E10" s="52">
        <f>Доходы[[#This Row],[Янв]]</f>
        <v>5360</v>
      </c>
      <c r="F10" s="52">
        <f>Доходы[[#This Row],[Янв]]</f>
        <v>5360</v>
      </c>
      <c r="G10" s="52">
        <f>Доходы[[#This Row],[Янв]]</f>
        <v>5360</v>
      </c>
      <c r="H10" s="52">
        <f>Доходы[[#This Row],[Янв]]</f>
        <v>5360</v>
      </c>
      <c r="I10" s="52">
        <f>Доходы[[#This Row],[Янв]]</f>
        <v>5360</v>
      </c>
      <c r="J10" s="52">
        <f>Доходы[[#This Row],[Янв]]</f>
        <v>5360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f>SUM(Доходы[[#This Row],[Янв]:[Дек]])</f>
        <v>37520</v>
      </c>
      <c r="Q10" s="54">
        <v>0.1</v>
      </c>
      <c r="R10" s="55">
        <f>IFERROR(Доходы[[#This Row],[Янв]]/Доходы[[#Totals],[Янв]],"-")</f>
        <v>3.4705613357776187E-2</v>
      </c>
      <c r="S10" s="55">
        <f>IFERROR(Доходы[[#This Row],[Фев]]/Доходы[[#Totals],[Фев]],"-")</f>
        <v>3.4705613357776187E-2</v>
      </c>
      <c r="T10" s="55">
        <f>IFERROR(Доходы[[#This Row],[Мар]]/Доходы[[#Totals],[Мар]],"-")</f>
        <v>3.4705613357776187E-2</v>
      </c>
      <c r="U10" s="55">
        <f>IFERROR(Доходы[[#This Row],[Апр]]/Доходы[[#Totals],[Апр]],"-")</f>
        <v>3.4705613357776187E-2</v>
      </c>
      <c r="V10" s="55">
        <f>IFERROR(Доходы[[#This Row],[Май]]/Доходы[[#Totals],[Май]],"-")</f>
        <v>3.4705613357776187E-2</v>
      </c>
      <c r="W10" s="55">
        <f>IFERROR(Доходы[[#This Row],[Июн]]/Доходы[[#Totals],[Июн]],"-")</f>
        <v>3.4705613357776187E-2</v>
      </c>
      <c r="X10" s="55">
        <f>IFERROR(Доходы[[#This Row],[Июл]]/Доходы[[#Totals],[Июл]],"-")</f>
        <v>3.4705613357776187E-2</v>
      </c>
      <c r="Y10" s="55" t="str">
        <f>IFERROR(Доходы[[#This Row],[Авг]]/Доходы[[#Totals],[Авг]],"-")</f>
        <v>-</v>
      </c>
      <c r="Z10" s="55" t="str">
        <f>IFERROR(Доходы[[#This Row],[Сен]]/Доходы[[#Totals],[Сен]],"-")</f>
        <v>-</v>
      </c>
      <c r="AA10" s="55" t="str">
        <f>IFERROR(Доходы[[#This Row],[Окт]]/Доходы[[#Totals],[Окт]],"-")</f>
        <v>-</v>
      </c>
      <c r="AB10" s="55" t="str">
        <f>IFERROR(Доходы[[#This Row],[Ноя]]/Доходы[[#Totals],[Ноя]],"-")</f>
        <v>-</v>
      </c>
      <c r="AC10" s="55" t="str">
        <f>IFERROR(Доходы[[#This Row],[Дек]]/Доходы[[#Totals],[Дек]],"-")</f>
        <v>-</v>
      </c>
      <c r="AD10" s="56">
        <f>IFERROR(Доходы[[#This Row],[За год]]/Доходы[[#Totals],[За год]],"-")</f>
        <v>3.4705613357776187E-2</v>
      </c>
    </row>
    <row r="11" spans="1:30" ht="30" customHeight="1" x14ac:dyDescent="0.25">
      <c r="B11" s="57" t="s">
        <v>64</v>
      </c>
      <c r="C11" s="51"/>
      <c r="D11" s="65">
        <f>ИсхД!J18</f>
        <v>90000</v>
      </c>
      <c r="E11" s="52">
        <f>Доходы[[#This Row],[Янв]]</f>
        <v>90000</v>
      </c>
      <c r="F11" s="52">
        <f>Доходы[[#This Row],[Янв]]</f>
        <v>90000</v>
      </c>
      <c r="G11" s="52">
        <f>Доходы[[#This Row],[Янв]]</f>
        <v>90000</v>
      </c>
      <c r="H11" s="52">
        <f>Доходы[[#This Row],[Янв]]</f>
        <v>90000</v>
      </c>
      <c r="I11" s="52">
        <f>Доходы[[#This Row],[Янв]]</f>
        <v>90000</v>
      </c>
      <c r="J11" s="52">
        <f>Доходы[[#This Row],[Янв]]</f>
        <v>90000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f>SUM(Доходы[[#This Row],[Янв]:[Дек]])</f>
        <v>630000</v>
      </c>
      <c r="Q11" s="54">
        <v>0.1</v>
      </c>
      <c r="R11" s="55">
        <f>IFERROR(Доходы[[#This Row],[Янв]]/Доходы[[#Totals],[Янв]],"-")</f>
        <v>0.58274350787310758</v>
      </c>
      <c r="S11" s="55">
        <f>IFERROR(Доходы[[#This Row],[Фев]]/Доходы[[#Totals],[Фев]],"-")</f>
        <v>0.58274350787310758</v>
      </c>
      <c r="T11" s="55">
        <f>IFERROR(Доходы[[#This Row],[Мар]]/Доходы[[#Totals],[Мар]],"-")</f>
        <v>0.58274350787310758</v>
      </c>
      <c r="U11" s="55">
        <f>IFERROR(Доходы[[#This Row],[Апр]]/Доходы[[#Totals],[Апр]],"-")</f>
        <v>0.58274350787310758</v>
      </c>
      <c r="V11" s="55">
        <f>IFERROR(Доходы[[#This Row],[Май]]/Доходы[[#Totals],[Май]],"-")</f>
        <v>0.58274350787310758</v>
      </c>
      <c r="W11" s="55">
        <f>IFERROR(Доходы[[#This Row],[Июн]]/Доходы[[#Totals],[Июн]],"-")</f>
        <v>0.58274350787310758</v>
      </c>
      <c r="X11" s="55">
        <f>IFERROR(Доходы[[#This Row],[Июл]]/Доходы[[#Totals],[Июл]],"-")</f>
        <v>0.58274350787310758</v>
      </c>
      <c r="Y11" s="55" t="str">
        <f>IFERROR(Доходы[[#This Row],[Авг]]/Доходы[[#Totals],[Авг]],"-")</f>
        <v>-</v>
      </c>
      <c r="Z11" s="55" t="str">
        <f>IFERROR(Доходы[[#This Row],[Сен]]/Доходы[[#Totals],[Сен]],"-")</f>
        <v>-</v>
      </c>
      <c r="AA11" s="55" t="str">
        <f>IFERROR(Доходы[[#This Row],[Окт]]/Доходы[[#Totals],[Окт]],"-")</f>
        <v>-</v>
      </c>
      <c r="AB11" s="55" t="str">
        <f>IFERROR(Доходы[[#This Row],[Ноя]]/Доходы[[#Totals],[Ноя]],"-")</f>
        <v>-</v>
      </c>
      <c r="AC11" s="55" t="str">
        <f>IFERROR(Доходы[[#This Row],[Дек]]/Доходы[[#Totals],[Дек]],"-")</f>
        <v>-</v>
      </c>
      <c r="AD11" s="56">
        <f>IFERROR(Доходы[[#This Row],[За год]]/Доходы[[#Totals],[За год]],"-")</f>
        <v>0.58274350787310758</v>
      </c>
    </row>
    <row r="12" spans="1:30" ht="30" customHeight="1" x14ac:dyDescent="0.25">
      <c r="B12" s="57" t="s">
        <v>63</v>
      </c>
      <c r="C12" s="75"/>
      <c r="D12" s="65">
        <v>0</v>
      </c>
      <c r="E12" s="52">
        <f>Доходы[[#This Row],[Янв]]</f>
        <v>0</v>
      </c>
      <c r="F12" s="52">
        <f>Доходы[[#This Row],[Янв]]</f>
        <v>0</v>
      </c>
      <c r="G12" s="52">
        <f>Доходы[[#This Row],[Янв]]</f>
        <v>0</v>
      </c>
      <c r="H12" s="52">
        <f>Доходы[[#This Row],[Янв]]</f>
        <v>0</v>
      </c>
      <c r="I12" s="52">
        <f>Доходы[[#This Row],[Янв]]</f>
        <v>0</v>
      </c>
      <c r="J12" s="52">
        <f>Доходы[[#This Row],[Янв]]</f>
        <v>0</v>
      </c>
      <c r="K12" s="52"/>
      <c r="L12" s="52"/>
      <c r="M12" s="52"/>
      <c r="N12" s="52"/>
      <c r="O12" s="52"/>
      <c r="P12" s="72">
        <f>SUM(Доходы[[#This Row],[Янв]:[Дек]])</f>
        <v>0</v>
      </c>
      <c r="Q12" s="54"/>
      <c r="R12" s="73">
        <f>IFERROR(Доходы[[#This Row],[Янв]]/Доходы[[#Totals],[Янв]],"-")</f>
        <v>0</v>
      </c>
      <c r="S12" s="73">
        <f>IFERROR(Доходы[[#This Row],[Фев]]/Доходы[[#Totals],[Фев]],"-")</f>
        <v>0</v>
      </c>
      <c r="T12" s="73">
        <f>IFERROR(Доходы[[#This Row],[Мар]]/Доходы[[#Totals],[Мар]],"-")</f>
        <v>0</v>
      </c>
      <c r="U12" s="73">
        <f>IFERROR(Доходы[[#This Row],[Апр]]/Доходы[[#Totals],[Апр]],"-")</f>
        <v>0</v>
      </c>
      <c r="V12" s="73">
        <f>IFERROR(Доходы[[#This Row],[Май]]/Доходы[[#Totals],[Май]],"-")</f>
        <v>0</v>
      </c>
      <c r="W12" s="73">
        <f>IFERROR(Доходы[[#This Row],[Июн]]/Доходы[[#Totals],[Июн]],"-")</f>
        <v>0</v>
      </c>
      <c r="X12" s="73">
        <f>IFERROR(Доходы[[#This Row],[Июл]]/Доходы[[#Totals],[Июл]],"-")</f>
        <v>0</v>
      </c>
      <c r="Y12" s="73" t="str">
        <f>IFERROR(Доходы[[#This Row],[Авг]]/Доходы[[#Totals],[Авг]],"-")</f>
        <v>-</v>
      </c>
      <c r="Z12" s="73" t="str">
        <f>IFERROR(Доходы[[#This Row],[Сен]]/Доходы[[#Totals],[Сен]],"-")</f>
        <v>-</v>
      </c>
      <c r="AA12" s="73" t="str">
        <f>IFERROR(Доходы[[#This Row],[Окт]]/Доходы[[#Totals],[Окт]],"-")</f>
        <v>-</v>
      </c>
      <c r="AB12" s="73" t="str">
        <f>IFERROR(Доходы[[#This Row],[Ноя]]/Доходы[[#Totals],[Ноя]],"-")</f>
        <v>-</v>
      </c>
      <c r="AC12" s="73" t="str">
        <f>IFERROR(Доходы[[#This Row],[Дек]]/Доходы[[#Totals],[Дек]],"-")</f>
        <v>-</v>
      </c>
      <c r="AD12" s="74">
        <f>IFERROR(Доходы[[#This Row],[За год]]/Доходы[[#Totals],[За год]],"-")</f>
        <v>0</v>
      </c>
    </row>
    <row r="13" spans="1:30" ht="30" customHeight="1" x14ac:dyDescent="0.25">
      <c r="B13" s="68" t="s">
        <v>3</v>
      </c>
      <c r="C13" s="69"/>
      <c r="D13" s="70">
        <f>SUBTOTAL(109,Доходы[Янв])</f>
        <v>154441.875</v>
      </c>
      <c r="E13" s="70">
        <f>SUBTOTAL(109,Доходы[Фев])</f>
        <v>154441.875</v>
      </c>
      <c r="F13" s="70">
        <f>SUBTOTAL(109,Доходы[Мар])</f>
        <v>154441.875</v>
      </c>
      <c r="G13" s="70">
        <f>SUBTOTAL(109,Доходы[Апр])</f>
        <v>154441.875</v>
      </c>
      <c r="H13" s="70">
        <f>SUBTOTAL(109,Доходы[Май])</f>
        <v>154441.875</v>
      </c>
      <c r="I13" s="70">
        <f>SUBTOTAL(109,Доходы[Июн])</f>
        <v>154441.875</v>
      </c>
      <c r="J13" s="70">
        <f>SUBTOTAL(109,Доходы[Июл])</f>
        <v>154441.875</v>
      </c>
      <c r="K13" s="70">
        <f>SUBTOTAL(109,Доходы[Авг])</f>
        <v>0</v>
      </c>
      <c r="L13" s="70">
        <f>SUBTOTAL(109,Доходы[Сен])</f>
        <v>0</v>
      </c>
      <c r="M13" s="70">
        <f>SUBTOTAL(109,Доходы[Окт])</f>
        <v>0</v>
      </c>
      <c r="N13" s="70">
        <f>SUBTOTAL(109,Доходы[Ноя])</f>
        <v>0</v>
      </c>
      <c r="O13" s="70">
        <f>SUBTOTAL(109,Доходы[Дек])</f>
        <v>0</v>
      </c>
      <c r="P13" s="70">
        <f>SUBTOTAL(109,Доходы[За год])</f>
        <v>1081093.125</v>
      </c>
      <c r="Q13" s="71">
        <f>SUBTOTAL(109,Доходы[Индекс (%)])</f>
        <v>1</v>
      </c>
      <c r="R13" s="71">
        <f>SUBTOTAL(109,Доходы[Янв (%)])</f>
        <v>1</v>
      </c>
      <c r="S13" s="71">
        <f>SUBTOTAL(109,Доходы[Фев (%)])</f>
        <v>1</v>
      </c>
      <c r="T13" s="71">
        <f>SUBTOTAL(109,Доходы[Мар (%)])</f>
        <v>1</v>
      </c>
      <c r="U13" s="71">
        <f>SUBTOTAL(109,Доходы[Апр (%)])</f>
        <v>1</v>
      </c>
      <c r="V13" s="71">
        <f>SUBTOTAL(109,Доходы[Май (%)])</f>
        <v>1</v>
      </c>
      <c r="W13" s="71">
        <f>SUBTOTAL(109,Доходы[Июн (%)])</f>
        <v>1</v>
      </c>
      <c r="X13" s="71">
        <f>SUBTOTAL(109,Доходы[Июл (%)])</f>
        <v>1</v>
      </c>
      <c r="Y13" s="71">
        <f>SUBTOTAL(109,Доходы[Авг (%)])</f>
        <v>0</v>
      </c>
      <c r="Z13" s="71">
        <f>SUBTOTAL(109,Доходы[Сен (%)])</f>
        <v>0</v>
      </c>
      <c r="AA13" s="71">
        <f>SUBTOTAL(109,Доходы[Окт (%)])</f>
        <v>0</v>
      </c>
      <c r="AB13" s="71">
        <f>SUBTOTAL(109,Доходы[Ноя (%)])</f>
        <v>0</v>
      </c>
      <c r="AC13" s="71">
        <f>SUBTOTAL(109,Доходы[Дек (%)])</f>
        <v>0</v>
      </c>
      <c r="AD13" s="71">
        <f>SUBTOTAL(109,Доходы[Год (%)])</f>
        <v>1</v>
      </c>
    </row>
  </sheetData>
  <dataValidations count="18">
    <dataValidation type="list" errorStyle="warning" allowBlank="1" showInputMessage="1" showErrorMessage="1" error="Выберите месяц в раскрывающемся списке. Выберите &quot;Отмена&quot;, затем нажмите клавиши ALT+СТРЕЛКА ВНИЗ. Нажмите клавишу ВВОД, чтобы выбрать месяц." prompt="Выберите месяц в этой ячейке. Нажмите клавиши ALT+СТРЕЛКА ВНИЗ, чтобы открыть раскрывающийся список, а затем — клавишу ВВОД, чтобы выбрать месяц." sqref="AC2">
      <formula1>"ЯНВ, ФЕВ, МАР, АПР, МАЙ, ИЮН, ИЮЛ, АВГ, СЕН, ОКТ, НОЯ, ДЕК"</formula1>
    </dataValidation>
    <dataValidation errorStyle="information" allowBlank="1" showInputMessage="1" errorTitle="Неизвестный год" error="Выберите год в раскрывающемся списке. Чтобы добавить или удалить год в списке, на вкладке &quot;Данные&quot; в группе &quot;Работа с данными&quot; нажмите кнопку &quot;Проверка данных&quot;." prompt="Введите год в этой ячейке." sqref="AD2"/>
    <dataValidation allowBlank="1" showInputMessage="1" showErrorMessage="1" prompt="Выберите первый месяц финансового года в ячейке AC2 и введите год в ячейке AD2 справа от этой подписи." sqref="AB2"/>
    <dataValidation allowBlank="1" showInputMessage="1" showErrorMessage="1" prompt="В этом столбце автоматически вычисляется годовой доход." sqref="P3"/>
    <dataValidation allowBlank="1" showInputMessage="1" showErrorMessage="1" prompt="Введите заголовок прогнозного периода, за который вычисляется общий объем продаж." sqref="B1"/>
    <dataValidation allowBlank="1" showInputMessage="1" showErrorMessage="1" prompt="Эта ячейка содержит заголовок прогноза. Для вычисления общего объема продаж введите значения в таблицу &quot;Доходы&quot; ниже." sqref="B2"/>
    <dataValidation allowBlank="1" showInputMessage="1" showErrorMessage="1" prompt="Введите в этой ячейке название организации." sqref="AD1"/>
    <dataValidation allowBlank="1" showInputMessage="1" showErrorMessage="1" prompt="Даты в этой строке обновляются автоматически в зависимости от первого месяца финансового года. Первый месяц можно изменить в ячейке AC2." sqref="D3"/>
    <dataValidation allowBlank="1" showInputMessage="1" showErrorMessage="1" prompt="Введите в этом столбце процентный индекс." sqref="Q4"/>
    <dataValidation allowBlank="1" showInputMessage="1" showErrorMessage="1" prompt="На этом листе вычисляется общий объем продаж за каждый месяц и год, а также общий годовой объем продаж из разных источников. Выберите первый месяц финансового года в ячейке AC2 и год в ячейке AD2." sqref="A2 A4:A13"/>
    <dataValidation allowBlank="1" showInputMessage="1" showErrorMessage="1" prompt="На этом листе вычисляется общий объем продаж за каждый месяц и год, а также общий годовой объем продаж из разных источников. Введите первый месяц финансового года в ячейке AC2 и год в ячейке AD2." sqref="A1"/>
    <dataValidation allowBlank="1" showInputMessage="1" showErrorMessage="1" prompt="Автоматически обновляемый месяц" sqref="E3:O3"/>
    <dataValidation allowBlank="1" showInputMessage="1" showErrorMessage="1" prompt="В этом столбце автоматически вычисляется доля продаж из разных источников в общем объеме продаж за месяц в этой ячейке." sqref="R3:AC3"/>
    <dataValidation allowBlank="1" showInputMessage="1" showErrorMessage="1" prompt="В этом столбце автоматически вычисляется доля продаж из разных источников в общем объеме продаж за год." sqref="AD3"/>
    <dataValidation allowBlank="1" showInputMessage="1" showErrorMessage="1" prompt="Введите в этом столбце доходы от продаж." sqref="B4"/>
    <dataValidation allowBlank="1" showInputMessage="1" showErrorMessage="1" prompt="Этот столбец содержит диаграмму изменения доходов по времени." sqref="C4"/>
    <dataValidation allowBlank="1" showInputMessage="1" showErrorMessage="1" prompt="Введите в этом столбце доходы из источников, указанных в столбце B." sqref="D4:O4"/>
    <dataValidation allowBlank="1" showInputMessage="1" showErrorMessage="1" prompt="Этот столбец содержит процентный индекс." sqref="Q3"/>
  </dataValidation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1"/>
          <x14:colorLow theme="3"/>
          <x14:sparklines>
            <x14:sparkline>
              <xm:f>'Доходы (продажи)'!$D$5:$O$5</xm:f>
              <xm:sqref>C5</xm:sqref>
            </x14:sparkline>
            <x14:sparkline>
              <xm:f>'Доходы (продажи)'!$D$6:$O$6</xm:f>
              <xm:sqref>C6</xm:sqref>
            </x14:sparkline>
            <x14:sparkline>
              <xm:f>'Доходы (продажи)'!$D$7:$O$7</xm:f>
              <xm:sqref>C7</xm:sqref>
            </x14:sparkline>
            <x14:sparkline>
              <xm:f>'Доходы (продажи)'!$D$8:$O$8</xm:f>
              <xm:sqref>C8</xm:sqref>
            </x14:sparkline>
            <x14:sparkline>
              <xm:f>'Доходы (продажи)'!$D$9:$O$9</xm:f>
              <xm:sqref>C9</xm:sqref>
            </x14:sparkline>
            <x14:sparkline>
              <xm:f>'Доходы (продажи)'!$D$10:$O$10</xm:f>
              <xm:sqref>C10</xm:sqref>
            </x14:sparkline>
            <x14:sparkline>
              <xm:f>'Доходы (продажи)'!$D$11:$O$11</xm:f>
              <xm:sqref>C11</xm:sqref>
            </x14:sparkline>
            <x14:sparkline>
              <xm:f>'Доходы (продажи)'!$D$12:$O$12</xm:f>
              <xm:sqref>C12</xm:sqref>
            </x14:sparkline>
          </x14:sparklines>
        </x14:sparklineGroup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1"/>
          <x14:colorLow theme="3"/>
          <x14:sparklines>
            <x14:sparkline>
              <xm:f>'Доходы (продажи)'!D13:O13</xm:f>
              <xm:sqref>C13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K12" sqref="K12"/>
    </sheetView>
  </sheetViews>
  <sheetFormatPr defaultRowHeight="13.8" x14ac:dyDescent="0.25"/>
  <cols>
    <col min="1" max="1" width="3.796875" customWidth="1"/>
    <col min="2" max="2" width="22.19921875" customWidth="1"/>
    <col min="3" max="3" width="18.8984375" customWidth="1"/>
    <col min="4" max="4" width="18.296875" customWidth="1"/>
    <col min="5" max="5" width="12.8984375" customWidth="1"/>
    <col min="6" max="6" width="17.5" customWidth="1"/>
    <col min="7" max="7" width="20.8984375" customWidth="1"/>
    <col min="8" max="8" width="21.3984375" customWidth="1"/>
    <col min="9" max="9" width="13.796875" customWidth="1"/>
    <col min="10" max="10" width="15.19921875" customWidth="1"/>
    <col min="11" max="11" width="19.5" customWidth="1"/>
  </cols>
  <sheetData>
    <row r="1" spans="1:11" x14ac:dyDescent="0.25">
      <c r="A1" s="58"/>
      <c r="B1" s="62" t="s">
        <v>78</v>
      </c>
      <c r="C1" s="58" t="s">
        <v>65</v>
      </c>
      <c r="D1" s="58" t="s">
        <v>68</v>
      </c>
      <c r="E1" s="58" t="s">
        <v>66</v>
      </c>
      <c r="F1" s="61" t="s">
        <v>73</v>
      </c>
      <c r="G1" s="61" t="s">
        <v>77</v>
      </c>
    </row>
    <row r="2" spans="1:11" x14ac:dyDescent="0.25">
      <c r="A2" s="58">
        <v>1</v>
      </c>
      <c r="B2" s="59" t="s">
        <v>57</v>
      </c>
      <c r="C2" s="58">
        <v>180</v>
      </c>
      <c r="D2" s="58">
        <f>D12*12</f>
        <v>35.160000000000004</v>
      </c>
      <c r="E2" s="58">
        <v>15</v>
      </c>
      <c r="F2" s="58">
        <f>D2*E2</f>
        <v>527.40000000000009</v>
      </c>
      <c r="G2" s="58">
        <f>C2*E2</f>
        <v>2700</v>
      </c>
    </row>
    <row r="3" spans="1:11" x14ac:dyDescent="0.25">
      <c r="A3" s="58">
        <v>2</v>
      </c>
      <c r="B3" s="59" t="s">
        <v>58</v>
      </c>
      <c r="C3" s="58">
        <v>150</v>
      </c>
      <c r="D3" s="58">
        <f t="shared" ref="D3:D8" si="0">D13*12</f>
        <v>35.160000000000004</v>
      </c>
      <c r="E3" s="58">
        <v>15</v>
      </c>
      <c r="F3" s="58">
        <f t="shared" ref="F3:F8" si="1">D3*E3</f>
        <v>527.40000000000009</v>
      </c>
      <c r="G3" s="58">
        <f t="shared" ref="G3:G8" si="2">C3*E3</f>
        <v>2250</v>
      </c>
    </row>
    <row r="4" spans="1:11" x14ac:dyDescent="0.25">
      <c r="A4" s="58">
        <v>3</v>
      </c>
      <c r="B4" s="59" t="s">
        <v>59</v>
      </c>
      <c r="C4" s="58">
        <v>180</v>
      </c>
      <c r="D4" s="58">
        <f t="shared" si="0"/>
        <v>35.160000000000004</v>
      </c>
      <c r="E4" s="58">
        <v>15</v>
      </c>
      <c r="F4" s="58">
        <f t="shared" si="1"/>
        <v>527.40000000000009</v>
      </c>
      <c r="G4" s="58">
        <f t="shared" si="2"/>
        <v>2700</v>
      </c>
    </row>
    <row r="5" spans="1:11" x14ac:dyDescent="0.25">
      <c r="A5" s="58">
        <v>4</v>
      </c>
      <c r="B5" s="59" t="s">
        <v>60</v>
      </c>
      <c r="C5" s="58">
        <v>150</v>
      </c>
      <c r="D5" s="58">
        <f t="shared" si="0"/>
        <v>35.160000000000004</v>
      </c>
      <c r="E5" s="58">
        <v>15</v>
      </c>
      <c r="F5" s="58">
        <f t="shared" si="1"/>
        <v>527.40000000000009</v>
      </c>
      <c r="G5" s="58">
        <f t="shared" si="2"/>
        <v>2250</v>
      </c>
    </row>
    <row r="6" spans="1:11" x14ac:dyDescent="0.25">
      <c r="A6" s="58">
        <v>5</v>
      </c>
      <c r="B6" s="59" t="s">
        <v>61</v>
      </c>
      <c r="C6" s="58">
        <v>110</v>
      </c>
      <c r="D6" s="58">
        <f t="shared" si="0"/>
        <v>35.160000000000004</v>
      </c>
      <c r="E6" s="58">
        <v>15</v>
      </c>
      <c r="F6" s="58">
        <f t="shared" si="1"/>
        <v>527.40000000000009</v>
      </c>
      <c r="G6" s="58">
        <f t="shared" si="2"/>
        <v>1650</v>
      </c>
    </row>
    <row r="7" spans="1:11" x14ac:dyDescent="0.25">
      <c r="A7" s="58">
        <v>6</v>
      </c>
      <c r="B7" s="59" t="s">
        <v>62</v>
      </c>
      <c r="C7" s="58">
        <v>80</v>
      </c>
      <c r="D7" s="58">
        <f t="shared" si="0"/>
        <v>70.320000000000007</v>
      </c>
      <c r="E7" s="58">
        <v>15</v>
      </c>
      <c r="F7" s="58">
        <f t="shared" si="1"/>
        <v>1054.8000000000002</v>
      </c>
      <c r="G7" s="58">
        <f t="shared" si="2"/>
        <v>1200</v>
      </c>
    </row>
    <row r="8" spans="1:11" x14ac:dyDescent="0.25">
      <c r="A8" s="58">
        <v>7</v>
      </c>
      <c r="B8" s="59" t="s">
        <v>72</v>
      </c>
      <c r="C8" s="58">
        <f>C18*12</f>
        <v>18</v>
      </c>
      <c r="D8" s="58">
        <f t="shared" si="0"/>
        <v>49.224000000000004</v>
      </c>
      <c r="E8" s="58">
        <v>200</v>
      </c>
      <c r="F8" s="58">
        <f t="shared" si="1"/>
        <v>9844.8000000000011</v>
      </c>
      <c r="G8" s="58">
        <f t="shared" si="2"/>
        <v>3600</v>
      </c>
    </row>
    <row r="9" spans="1:11" x14ac:dyDescent="0.25">
      <c r="A9" s="58"/>
      <c r="B9" s="63" t="s">
        <v>71</v>
      </c>
      <c r="C9" s="63">
        <f>SUM(C2:C7)</f>
        <v>850</v>
      </c>
      <c r="D9" s="63">
        <f>SUM(D2:D8)</f>
        <v>295.34399999999999</v>
      </c>
      <c r="E9" s="63">
        <f>SUM(E2:E8)</f>
        <v>290</v>
      </c>
      <c r="F9" s="63">
        <f>SUM(F2:F8)</f>
        <v>13536.600000000002</v>
      </c>
      <c r="G9" s="63">
        <f>SUM(G2:G7)</f>
        <v>12750</v>
      </c>
    </row>
    <row r="11" spans="1:11" x14ac:dyDescent="0.25">
      <c r="A11" s="58"/>
      <c r="B11" s="62" t="s">
        <v>79</v>
      </c>
      <c r="C11" s="62" t="s">
        <v>76</v>
      </c>
      <c r="D11" s="62" t="s">
        <v>69</v>
      </c>
      <c r="E11" s="62" t="s">
        <v>66</v>
      </c>
      <c r="F11" s="62" t="s">
        <v>74</v>
      </c>
      <c r="G11" s="62" t="s">
        <v>77</v>
      </c>
      <c r="H11" s="62" t="s">
        <v>81</v>
      </c>
      <c r="I11" s="62" t="s">
        <v>82</v>
      </c>
      <c r="J11" s="62" t="s">
        <v>88</v>
      </c>
      <c r="K11" s="62" t="s">
        <v>106</v>
      </c>
    </row>
    <row r="12" spans="1:11" x14ac:dyDescent="0.25">
      <c r="A12" s="58">
        <v>1</v>
      </c>
      <c r="B12" s="59" t="s">
        <v>57</v>
      </c>
      <c r="C12" s="60">
        <f>C2/12</f>
        <v>15</v>
      </c>
      <c r="D12" s="58">
        <f>D22*29.3</f>
        <v>2.93</v>
      </c>
      <c r="E12" s="58">
        <v>15</v>
      </c>
      <c r="F12" s="58">
        <f>D12*E12</f>
        <v>43.95</v>
      </c>
      <c r="G12" s="60">
        <f>C12*E12</f>
        <v>225</v>
      </c>
      <c r="H12" s="60">
        <f>G12*0.33</f>
        <v>74.25</v>
      </c>
      <c r="I12" s="60">
        <f>G12-H12</f>
        <v>150.75</v>
      </c>
      <c r="J12" s="66">
        <f>(H12*D32)+(I12*C32)</f>
        <v>5265</v>
      </c>
      <c r="K12" s="84">
        <v>0</v>
      </c>
    </row>
    <row r="13" spans="1:11" x14ac:dyDescent="0.25">
      <c r="A13" s="58">
        <v>2</v>
      </c>
      <c r="B13" s="59" t="s">
        <v>58</v>
      </c>
      <c r="C13" s="60">
        <f t="shared" ref="C13:C17" si="3">C3/12</f>
        <v>12.5</v>
      </c>
      <c r="D13" s="58">
        <f t="shared" ref="D13:D18" si="4">D23*29.3</f>
        <v>2.93</v>
      </c>
      <c r="E13" s="58">
        <v>15</v>
      </c>
      <c r="F13" s="58">
        <f t="shared" ref="F13:F18" si="5">D13*E13</f>
        <v>43.95</v>
      </c>
      <c r="G13" s="60">
        <f t="shared" ref="G13:G17" si="6">C13*E13</f>
        <v>187.5</v>
      </c>
      <c r="H13" s="60">
        <f t="shared" ref="H13:H17" si="7">G13*0.33</f>
        <v>61.875</v>
      </c>
      <c r="I13" s="60">
        <f t="shared" ref="I13:I17" si="8">G13-H13</f>
        <v>125.625</v>
      </c>
      <c r="J13" s="66">
        <f t="shared" ref="J13:J17" si="9">(H13*D33)+(I13*C33)</f>
        <v>13490.625</v>
      </c>
      <c r="K13" s="84">
        <v>0</v>
      </c>
    </row>
    <row r="14" spans="1:11" x14ac:dyDescent="0.25">
      <c r="A14" s="58">
        <v>3</v>
      </c>
      <c r="B14" s="59" t="s">
        <v>59</v>
      </c>
      <c r="C14" s="60">
        <f t="shared" si="3"/>
        <v>15</v>
      </c>
      <c r="D14" s="58">
        <f t="shared" si="4"/>
        <v>2.93</v>
      </c>
      <c r="E14" s="58">
        <v>15</v>
      </c>
      <c r="F14" s="58">
        <f t="shared" si="5"/>
        <v>43.95</v>
      </c>
      <c r="G14" s="60">
        <f t="shared" si="6"/>
        <v>225</v>
      </c>
      <c r="H14" s="60">
        <f t="shared" si="7"/>
        <v>74.25</v>
      </c>
      <c r="I14" s="60">
        <f t="shared" si="8"/>
        <v>150.75</v>
      </c>
      <c r="J14" s="66">
        <f t="shared" si="9"/>
        <v>16188.75</v>
      </c>
      <c r="K14" s="84">
        <v>0</v>
      </c>
    </row>
    <row r="15" spans="1:11" x14ac:dyDescent="0.25">
      <c r="A15" s="58">
        <v>4</v>
      </c>
      <c r="B15" s="59" t="s">
        <v>60</v>
      </c>
      <c r="C15" s="60">
        <f t="shared" si="3"/>
        <v>12.5</v>
      </c>
      <c r="D15" s="58">
        <f t="shared" si="4"/>
        <v>2.93</v>
      </c>
      <c r="E15" s="58">
        <v>15</v>
      </c>
      <c r="F15" s="58">
        <f t="shared" si="5"/>
        <v>43.95</v>
      </c>
      <c r="G15" s="60">
        <f t="shared" si="6"/>
        <v>187.5</v>
      </c>
      <c r="H15" s="60">
        <f t="shared" si="7"/>
        <v>61.875</v>
      </c>
      <c r="I15" s="60">
        <f t="shared" si="8"/>
        <v>125.625</v>
      </c>
      <c r="J15" s="66">
        <f t="shared" si="9"/>
        <v>19771.875</v>
      </c>
      <c r="K15" s="84">
        <v>0</v>
      </c>
    </row>
    <row r="16" spans="1:11" x14ac:dyDescent="0.25">
      <c r="A16" s="58">
        <v>5</v>
      </c>
      <c r="B16" s="59" t="s">
        <v>61</v>
      </c>
      <c r="C16" s="60">
        <f t="shared" si="3"/>
        <v>9.1666666666666661</v>
      </c>
      <c r="D16" s="58">
        <f t="shared" si="4"/>
        <v>2.93</v>
      </c>
      <c r="E16" s="58">
        <v>15</v>
      </c>
      <c r="F16" s="58">
        <f t="shared" si="5"/>
        <v>43.95</v>
      </c>
      <c r="G16" s="60">
        <f t="shared" si="6"/>
        <v>137.5</v>
      </c>
      <c r="H16" s="60">
        <f t="shared" si="7"/>
        <v>45.375</v>
      </c>
      <c r="I16" s="60">
        <f t="shared" si="8"/>
        <v>92.125</v>
      </c>
      <c r="J16" s="66">
        <f t="shared" si="9"/>
        <v>4365.625</v>
      </c>
      <c r="K16" s="84">
        <v>0</v>
      </c>
    </row>
    <row r="17" spans="1:11" x14ac:dyDescent="0.25">
      <c r="A17" s="58">
        <v>6</v>
      </c>
      <c r="B17" s="59" t="s">
        <v>62</v>
      </c>
      <c r="C17" s="60">
        <f t="shared" si="3"/>
        <v>6.666666666666667</v>
      </c>
      <c r="D17" s="58">
        <f t="shared" si="4"/>
        <v>5.86</v>
      </c>
      <c r="E17" s="58">
        <v>15</v>
      </c>
      <c r="F17" s="58">
        <f t="shared" si="5"/>
        <v>87.9</v>
      </c>
      <c r="G17" s="58">
        <f t="shared" si="6"/>
        <v>100</v>
      </c>
      <c r="H17" s="60">
        <f t="shared" si="7"/>
        <v>33</v>
      </c>
      <c r="I17" s="60">
        <f t="shared" si="8"/>
        <v>67</v>
      </c>
      <c r="J17" s="66">
        <f t="shared" si="9"/>
        <v>5360</v>
      </c>
      <c r="K17" s="84">
        <v>0</v>
      </c>
    </row>
    <row r="18" spans="1:11" x14ac:dyDescent="0.25">
      <c r="A18" s="58">
        <v>7</v>
      </c>
      <c r="B18" s="59" t="s">
        <v>72</v>
      </c>
      <c r="C18" s="58">
        <v>1.5</v>
      </c>
      <c r="D18" s="58">
        <f t="shared" si="4"/>
        <v>4.1020000000000003</v>
      </c>
      <c r="E18" s="58">
        <v>200</v>
      </c>
      <c r="F18" s="58">
        <f t="shared" si="5"/>
        <v>820.40000000000009</v>
      </c>
      <c r="G18" s="58">
        <f>C18*E18</f>
        <v>300</v>
      </c>
      <c r="H18" s="60"/>
      <c r="I18" s="58"/>
      <c r="J18" s="66">
        <f>G18*E38</f>
        <v>90000</v>
      </c>
      <c r="K18" s="84">
        <f>'Себестоимость продаж'!D11/ИсхД!G18</f>
        <v>0</v>
      </c>
    </row>
    <row r="19" spans="1:11" x14ac:dyDescent="0.25">
      <c r="A19" s="58"/>
      <c r="B19" s="63" t="s">
        <v>71</v>
      </c>
      <c r="C19" s="64">
        <f>SUM(C12:C17)</f>
        <v>70.833333333333343</v>
      </c>
      <c r="D19" s="63">
        <f>SUM(D12:D18)</f>
        <v>24.612000000000002</v>
      </c>
      <c r="E19" s="63">
        <f>SUM(E12:E18)</f>
        <v>290</v>
      </c>
      <c r="F19" s="63">
        <f>SUM(F12:F18)</f>
        <v>1128.0500000000002</v>
      </c>
      <c r="G19" s="64">
        <f>SUM(G12:G17)</f>
        <v>1062.5</v>
      </c>
      <c r="H19" s="64">
        <f>SUM(H12:H17)</f>
        <v>350.625</v>
      </c>
      <c r="I19" s="64">
        <f>SUM(I12:I17)</f>
        <v>711.875</v>
      </c>
      <c r="J19" s="67">
        <f>SUM(J12:J18)</f>
        <v>154441.875</v>
      </c>
      <c r="K19" s="85">
        <f>SUM(K12:K18)</f>
        <v>0</v>
      </c>
    </row>
    <row r="21" spans="1:11" x14ac:dyDescent="0.25">
      <c r="A21" s="58"/>
      <c r="B21" s="62" t="s">
        <v>80</v>
      </c>
      <c r="C21" s="58" t="s">
        <v>70</v>
      </c>
      <c r="D21" s="58" t="s">
        <v>67</v>
      </c>
      <c r="E21" s="58" t="s">
        <v>66</v>
      </c>
      <c r="F21" s="61" t="s">
        <v>75</v>
      </c>
      <c r="G21" s="58"/>
    </row>
    <row r="22" spans="1:11" x14ac:dyDescent="0.25">
      <c r="A22" s="58">
        <v>1</v>
      </c>
      <c r="B22" s="59" t="s">
        <v>57</v>
      </c>
      <c r="C22" s="58"/>
      <c r="D22" s="58">
        <v>0.1</v>
      </c>
      <c r="E22" s="58">
        <v>15</v>
      </c>
      <c r="F22" s="58">
        <f>D22*E22</f>
        <v>1.5</v>
      </c>
      <c r="G22" s="58"/>
    </row>
    <row r="23" spans="1:11" x14ac:dyDescent="0.25">
      <c r="A23" s="58">
        <v>2</v>
      </c>
      <c r="B23" s="59" t="s">
        <v>58</v>
      </c>
      <c r="C23" s="58"/>
      <c r="D23" s="58">
        <v>0.1</v>
      </c>
      <c r="E23" s="58">
        <v>15</v>
      </c>
      <c r="F23" s="58">
        <f t="shared" ref="F23:F28" si="10">D23*E23</f>
        <v>1.5</v>
      </c>
      <c r="G23" s="58"/>
    </row>
    <row r="24" spans="1:11" x14ac:dyDescent="0.25">
      <c r="A24" s="58">
        <v>3</v>
      </c>
      <c r="B24" s="59" t="s">
        <v>59</v>
      </c>
      <c r="C24" s="58"/>
      <c r="D24" s="58">
        <v>0.1</v>
      </c>
      <c r="E24" s="58">
        <v>15</v>
      </c>
      <c r="F24" s="58">
        <f t="shared" si="10"/>
        <v>1.5</v>
      </c>
      <c r="G24" s="58"/>
    </row>
    <row r="25" spans="1:11" x14ac:dyDescent="0.25">
      <c r="A25" s="58">
        <v>4</v>
      </c>
      <c r="B25" s="59" t="s">
        <v>60</v>
      </c>
      <c r="C25" s="58"/>
      <c r="D25" s="58">
        <v>0.1</v>
      </c>
      <c r="E25" s="58">
        <v>15</v>
      </c>
      <c r="F25" s="58">
        <f t="shared" si="10"/>
        <v>1.5</v>
      </c>
      <c r="G25" s="58"/>
    </row>
    <row r="26" spans="1:11" x14ac:dyDescent="0.25">
      <c r="A26" s="58">
        <v>5</v>
      </c>
      <c r="B26" s="59" t="s">
        <v>61</v>
      </c>
      <c r="C26" s="58"/>
      <c r="D26" s="58">
        <v>0.1</v>
      </c>
      <c r="E26" s="58">
        <v>15</v>
      </c>
      <c r="F26" s="58">
        <f t="shared" si="10"/>
        <v>1.5</v>
      </c>
      <c r="G26" s="58"/>
    </row>
    <row r="27" spans="1:11" x14ac:dyDescent="0.25">
      <c r="A27" s="58">
        <v>6</v>
      </c>
      <c r="B27" s="59" t="s">
        <v>62</v>
      </c>
      <c r="C27" s="58"/>
      <c r="D27" s="58">
        <v>0.2</v>
      </c>
      <c r="E27" s="58">
        <v>15</v>
      </c>
      <c r="F27" s="58">
        <f t="shared" si="10"/>
        <v>3</v>
      </c>
      <c r="G27" s="58"/>
    </row>
    <row r="28" spans="1:11" x14ac:dyDescent="0.25">
      <c r="A28" s="58">
        <v>7</v>
      </c>
      <c r="B28" s="59" t="s">
        <v>64</v>
      </c>
      <c r="C28" s="58"/>
      <c r="D28" s="58">
        <v>0.14000000000000001</v>
      </c>
      <c r="E28" s="58">
        <v>200</v>
      </c>
      <c r="F28" s="58">
        <f t="shared" si="10"/>
        <v>28.000000000000004</v>
      </c>
      <c r="G28" s="58"/>
    </row>
    <row r="29" spans="1:11" x14ac:dyDescent="0.25">
      <c r="A29" s="58"/>
      <c r="B29" s="63" t="s">
        <v>71</v>
      </c>
      <c r="C29" s="63"/>
      <c r="D29" s="63">
        <f>SUM(D22:D28)</f>
        <v>0.84</v>
      </c>
      <c r="E29" s="63">
        <f>SUM(E22:E28)</f>
        <v>290</v>
      </c>
      <c r="F29" s="63">
        <f>SUM(F22:F28)</f>
        <v>38.5</v>
      </c>
      <c r="G29" s="63"/>
    </row>
    <row r="31" spans="1:11" x14ac:dyDescent="0.25">
      <c r="B31" s="62" t="s">
        <v>86</v>
      </c>
      <c r="C31" s="62" t="s">
        <v>83</v>
      </c>
      <c r="D31" s="62" t="s">
        <v>84</v>
      </c>
      <c r="E31" s="62" t="s">
        <v>85</v>
      </c>
    </row>
    <row r="32" spans="1:11" x14ac:dyDescent="0.25">
      <c r="B32" s="59" t="s">
        <v>57</v>
      </c>
      <c r="C32" s="58">
        <v>30</v>
      </c>
      <c r="D32" s="58">
        <v>10</v>
      </c>
      <c r="E32" s="58">
        <v>250</v>
      </c>
    </row>
    <row r="33" spans="2:5" x14ac:dyDescent="0.25">
      <c r="B33" s="59" t="s">
        <v>58</v>
      </c>
      <c r="C33" s="58">
        <v>100</v>
      </c>
      <c r="D33" s="58">
        <v>15</v>
      </c>
      <c r="E33" s="58">
        <v>250</v>
      </c>
    </row>
    <row r="34" spans="2:5" x14ac:dyDescent="0.25">
      <c r="B34" s="59" t="s">
        <v>59</v>
      </c>
      <c r="C34" s="58">
        <v>100</v>
      </c>
      <c r="D34" s="58">
        <v>15</v>
      </c>
      <c r="E34" s="58">
        <v>250</v>
      </c>
    </row>
    <row r="35" spans="2:5" x14ac:dyDescent="0.25">
      <c r="B35" s="59" t="s">
        <v>60</v>
      </c>
      <c r="C35" s="58">
        <v>150</v>
      </c>
      <c r="D35" s="58">
        <v>15</v>
      </c>
      <c r="E35" s="58">
        <v>350</v>
      </c>
    </row>
    <row r="36" spans="2:5" x14ac:dyDescent="0.25">
      <c r="B36" s="59" t="s">
        <v>61</v>
      </c>
      <c r="C36" s="58">
        <v>40</v>
      </c>
      <c r="D36" s="58">
        <v>15</v>
      </c>
      <c r="E36" s="58">
        <v>350</v>
      </c>
    </row>
    <row r="37" spans="2:5" x14ac:dyDescent="0.25">
      <c r="B37" s="59" t="s">
        <v>62</v>
      </c>
      <c r="C37" s="58">
        <v>80</v>
      </c>
      <c r="D37" s="58"/>
      <c r="E37" s="58">
        <v>400</v>
      </c>
    </row>
    <row r="38" spans="2:5" x14ac:dyDescent="0.25">
      <c r="B38" s="59" t="s">
        <v>72</v>
      </c>
      <c r="C38" s="58">
        <v>35</v>
      </c>
      <c r="D38" s="58"/>
      <c r="E38" s="58">
        <v>300</v>
      </c>
    </row>
    <row r="39" spans="2:5" x14ac:dyDescent="0.25">
      <c r="B39" s="63" t="s">
        <v>87</v>
      </c>
      <c r="C39" s="63">
        <f>SUM(C32:C38)</f>
        <v>535</v>
      </c>
      <c r="D39" s="63">
        <f>SUM(D32:D38)</f>
        <v>70</v>
      </c>
      <c r="E39" s="63">
        <f>SUM(E32:E38)</f>
        <v>2150</v>
      </c>
    </row>
    <row r="41" spans="2:5" x14ac:dyDescent="0.25">
      <c r="B41" s="77" t="s">
        <v>96</v>
      </c>
      <c r="C41" s="62" t="s">
        <v>86</v>
      </c>
      <c r="D41" s="62" t="s">
        <v>98</v>
      </c>
      <c r="E41" s="78" t="s">
        <v>71</v>
      </c>
    </row>
    <row r="42" spans="2:5" x14ac:dyDescent="0.25">
      <c r="B42" s="76" t="s">
        <v>97</v>
      </c>
      <c r="C42" s="58">
        <v>50</v>
      </c>
      <c r="D42" s="58">
        <v>20</v>
      </c>
      <c r="E42" s="67">
        <f>C42*D42</f>
        <v>1000</v>
      </c>
    </row>
    <row r="43" spans="2:5" x14ac:dyDescent="0.25">
      <c r="B43" s="58" t="s">
        <v>99</v>
      </c>
      <c r="C43" s="58">
        <v>1600</v>
      </c>
      <c r="D43" s="58"/>
      <c r="E43" s="67">
        <f>C43</f>
        <v>1600</v>
      </c>
    </row>
    <row r="44" spans="2:5" ht="27.6" x14ac:dyDescent="0.25">
      <c r="B44" s="79" t="s">
        <v>101</v>
      </c>
      <c r="C44" s="58">
        <f>800/40</f>
        <v>20</v>
      </c>
      <c r="D44" s="58">
        <f>F19</f>
        <v>1128.0500000000002</v>
      </c>
      <c r="E44" s="67">
        <f>C44*D44</f>
        <v>22561.000000000004</v>
      </c>
    </row>
    <row r="45" spans="2:5" x14ac:dyDescent="0.25">
      <c r="B45" s="58" t="s">
        <v>104</v>
      </c>
      <c r="C45" s="58">
        <v>8.5</v>
      </c>
      <c r="D45" s="58">
        <f>0.2*E19</f>
        <v>58</v>
      </c>
      <c r="E45" s="67">
        <f>C45*D45</f>
        <v>493</v>
      </c>
    </row>
    <row r="46" spans="2:5" s="9" customFormat="1" x14ac:dyDescent="0.25">
      <c r="B46" s="58" t="s">
        <v>105</v>
      </c>
      <c r="C46" s="58">
        <v>800</v>
      </c>
      <c r="D46" s="58">
        <v>1</v>
      </c>
      <c r="E46" s="67">
        <f>C46*D46</f>
        <v>800</v>
      </c>
    </row>
    <row r="47" spans="2:5" x14ac:dyDescent="0.25">
      <c r="B47" s="58"/>
      <c r="C47" s="58"/>
      <c r="D47" s="58"/>
      <c r="E47" s="67">
        <f>SUM(E42:E46)</f>
        <v>26454.000000000004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D19"/>
  <sheetViews>
    <sheetView showGridLines="0" zoomScaleNormal="100" workbookViewId="0">
      <pane ySplit="3" topLeftCell="A4" activePane="bottomLeft" state="frozen"/>
      <selection activeCell="P1" sqref="P1:P1048576"/>
      <selection pane="bottomLeft" activeCell="D9" sqref="D9:J9"/>
    </sheetView>
  </sheetViews>
  <sheetFormatPr defaultRowHeight="30" customHeight="1" x14ac:dyDescent="0.25"/>
  <cols>
    <col min="1" max="1" width="2.59765625" customWidth="1"/>
    <col min="2" max="2" width="32.8984375" customWidth="1"/>
    <col min="3" max="3" width="12.59765625" customWidth="1"/>
    <col min="4" max="15" width="13.69921875" customWidth="1"/>
    <col min="16" max="16" width="12.09765625" customWidth="1"/>
    <col min="17" max="17" width="9.19921875" customWidth="1"/>
    <col min="18" max="29" width="8.69921875" customWidth="1"/>
    <col min="30" max="30" width="9.8984375" customWidth="1"/>
    <col min="31" max="31" width="2.59765625" customWidth="1"/>
  </cols>
  <sheetData>
    <row r="1" spans="1:30" ht="35.1" customHeight="1" x14ac:dyDescent="0.25">
      <c r="A1" s="6"/>
      <c r="B1" s="19" t="str">
        <f>Projection_Period_Title</f>
        <v>Двенадцать месяцев</v>
      </c>
      <c r="C1" s="9"/>
      <c r="J1" s="8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6" t="str">
        <f>Название_организации</f>
        <v>Название организации</v>
      </c>
    </row>
    <row r="2" spans="1:30" ht="60" customHeight="1" x14ac:dyDescent="0.25">
      <c r="B2" s="25" t="str">
        <f>Wksht_Title</f>
        <v>ОЦЕНКА ПРИБЫЛЕЙ И УБЫТКОВ</v>
      </c>
      <c r="E2" s="3"/>
      <c r="G2" s="3"/>
      <c r="K2" s="3"/>
      <c r="L2" s="3"/>
      <c r="M2" s="3"/>
      <c r="N2" s="3"/>
      <c r="O2" s="3"/>
      <c r="X2" s="5"/>
      <c r="Y2" s="5"/>
      <c r="Z2" s="5"/>
      <c r="AA2" s="5"/>
      <c r="AB2" s="17" t="s">
        <v>41</v>
      </c>
      <c r="AC2" s="17" t="str">
        <f>FYMonthStart</f>
        <v>ЯНВ</v>
      </c>
      <c r="AD2" s="17">
        <f ca="1">FYStartYear</f>
        <v>2019</v>
      </c>
    </row>
    <row r="3" spans="1:30" ht="20.100000000000001" customHeight="1" x14ac:dyDescent="0.25">
      <c r="D3" s="34" t="str">
        <f ca="1">UPPER(TEXT(DATE(FYStartYear,FYMonthNo,1),"ГГ МММ"))</f>
        <v>19 ЯНВ</v>
      </c>
      <c r="E3" s="34" t="str">
        <f ca="1">UPPER(TEXT(DATE(FYStartYear,FYMonthNo+1,1),"ГГ МММ"))</f>
        <v>19 ФЕВ</v>
      </c>
      <c r="F3" s="34" t="str">
        <f ca="1">UPPER(TEXT(DATE(FYStartYear,FYMonthNo+2,1),"ГГ МММ"))</f>
        <v>19 МАР</v>
      </c>
      <c r="G3" s="34" t="str">
        <f ca="1">UPPER(TEXT(DATE(FYStartYear,FYMonthNo+3,1),"ГГ МММ"))</f>
        <v>19 АПР</v>
      </c>
      <c r="H3" s="34" t="str">
        <f ca="1">UPPER(TEXT(DATE(FYStartYear,FYMonthNo+4,1),"ГГ МММ"))</f>
        <v>19 МАЙ</v>
      </c>
      <c r="I3" s="34" t="str">
        <f ca="1">UPPER(TEXT(DATE(FYStartYear,FYMonthNo+5,1),"ГГ МММ"))</f>
        <v>19 ИЮН</v>
      </c>
      <c r="J3" s="34" t="str">
        <f ca="1">UPPER(TEXT(DATE(FYStartYear,FYMonthNo+6,1),"ГГ МММ"))</f>
        <v>19 ИЮЛ</v>
      </c>
      <c r="K3" s="34" t="str">
        <f ca="1">UPPER(TEXT(DATE(FYStartYear,FYMonthNo+7,1),"ГГ МММ"))</f>
        <v>19 АВГ</v>
      </c>
      <c r="L3" s="34" t="str">
        <f ca="1">UPPER(TEXT(DATE(FYStartYear,FYMonthNo+8,1),"ГГ МММ"))</f>
        <v>19 СЕН</v>
      </c>
      <c r="M3" s="34" t="str">
        <f ca="1">UPPER(TEXT(DATE(FYStartYear,FYMonthNo+9,1),"ГГ МММ"))</f>
        <v>19 ОКТ</v>
      </c>
      <c r="N3" s="34" t="str">
        <f ca="1">UPPER(TEXT(DATE(FYStartYear,FYMonthNo+10,1),"ГГ МММ"))</f>
        <v>19 НОЯ</v>
      </c>
      <c r="O3" s="34" t="str">
        <f ca="1">UPPER(TEXT(DATE(FYStartYear,FYMonthNo+11,1),"ГГ МММ"))</f>
        <v>19 ДЕК</v>
      </c>
      <c r="P3" s="34" t="s">
        <v>17</v>
      </c>
      <c r="Q3" s="34" t="s">
        <v>19</v>
      </c>
      <c r="R3" s="34" t="str">
        <f ca="1">RIGHT(D3,3)&amp;" %"</f>
        <v>ЯНВ %</v>
      </c>
      <c r="S3" s="34" t="str">
        <f t="shared" ref="S3:AC3" ca="1" si="0">RIGHT(E3,3)&amp;" %"</f>
        <v>ФЕВ %</v>
      </c>
      <c r="T3" s="34" t="str">
        <f t="shared" ca="1" si="0"/>
        <v>МАР %</v>
      </c>
      <c r="U3" s="34" t="str">
        <f t="shared" ca="1" si="0"/>
        <v>АПР %</v>
      </c>
      <c r="V3" s="34" t="str">
        <f t="shared" ca="1" si="0"/>
        <v>МАЙ %</v>
      </c>
      <c r="W3" s="34" t="str">
        <f t="shared" ca="1" si="0"/>
        <v>ИЮН %</v>
      </c>
      <c r="X3" s="34" t="str">
        <f t="shared" ca="1" si="0"/>
        <v>ИЮЛ %</v>
      </c>
      <c r="Y3" s="34" t="str">
        <f t="shared" ca="1" si="0"/>
        <v>АВГ %</v>
      </c>
      <c r="Z3" s="34" t="str">
        <f t="shared" ca="1" si="0"/>
        <v>СЕН %</v>
      </c>
      <c r="AA3" s="34" t="str">
        <f t="shared" ca="1" si="0"/>
        <v>ОКТ %</v>
      </c>
      <c r="AB3" s="34" t="str">
        <f t="shared" ca="1" si="0"/>
        <v>НОЯ %</v>
      </c>
      <c r="AC3" s="34" t="str">
        <f t="shared" ca="1" si="0"/>
        <v>ДЕК %</v>
      </c>
      <c r="AD3" s="34" t="s">
        <v>36</v>
      </c>
    </row>
    <row r="4" spans="1:30" ht="30" customHeight="1" x14ac:dyDescent="0.25">
      <c r="B4" s="24" t="s">
        <v>38</v>
      </c>
      <c r="C4" s="24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1" t="s">
        <v>20</v>
      </c>
      <c r="R4" s="21" t="s">
        <v>21</v>
      </c>
      <c r="S4" s="21" t="s">
        <v>22</v>
      </c>
      <c r="T4" s="21" t="s">
        <v>23</v>
      </c>
      <c r="U4" s="21" t="s">
        <v>24</v>
      </c>
      <c r="V4" s="21" t="s">
        <v>25</v>
      </c>
      <c r="W4" s="21" t="s">
        <v>26</v>
      </c>
      <c r="X4" s="21" t="s">
        <v>27</v>
      </c>
      <c r="Y4" s="21" t="s">
        <v>28</v>
      </c>
      <c r="Z4" s="21" t="s">
        <v>29</v>
      </c>
      <c r="AA4" s="21" t="s">
        <v>30</v>
      </c>
      <c r="AB4" s="21" t="s">
        <v>32</v>
      </c>
      <c r="AC4" s="21" t="s">
        <v>34</v>
      </c>
      <c r="AD4" s="20" t="s">
        <v>37</v>
      </c>
    </row>
    <row r="5" spans="1:30" ht="30" customHeight="1" x14ac:dyDescent="0.25">
      <c r="B5" s="57" t="s">
        <v>89</v>
      </c>
      <c r="C5" s="26"/>
      <c r="D5" s="30">
        <f>ИсхД!$E44</f>
        <v>22561.000000000004</v>
      </c>
      <c r="E5" s="30">
        <f>ИсхД!$E44</f>
        <v>22561.000000000004</v>
      </c>
      <c r="F5" s="30">
        <f>ИсхД!$E44</f>
        <v>22561.000000000004</v>
      </c>
      <c r="G5" s="30">
        <f>ИсхД!$E44</f>
        <v>22561.000000000004</v>
      </c>
      <c r="H5" s="30">
        <f>ИсхД!$E44</f>
        <v>22561.000000000004</v>
      </c>
      <c r="I5" s="30">
        <f>ИсхД!$E44</f>
        <v>22561.000000000004</v>
      </c>
      <c r="J5" s="30">
        <f>ИсхД!$E44</f>
        <v>22561.000000000004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1">
        <f>SUM(Себестоимость_продаж[[#This Row],[Янв]:[Дек]])</f>
        <v>157927.00000000003</v>
      </c>
      <c r="Q5" s="23">
        <v>0.12</v>
      </c>
      <c r="R5" s="33">
        <f>IFERROR(Себестоимость_продаж[[#This Row],[Янв]]/Себестоимость_продаж[[#Totals],[Янв]],"-")</f>
        <v>0.64730016640844679</v>
      </c>
      <c r="S5" s="33">
        <f>IFERROR(Себестоимость_продаж[[#This Row],[Фев]]/Себестоимость_продаж[[#Totals],[Фев]],"-")</f>
        <v>0.66250660715334475</v>
      </c>
      <c r="T5" s="33">
        <f>IFERROR(Себестоимость_продаж[[#This Row],[Мар]]/Себестоимость_продаж[[#Totals],[Мар]],"-")</f>
        <v>0.66250660715334475</v>
      </c>
      <c r="U5" s="33">
        <f>IFERROR(Себестоимость_продаж[[#This Row],[Апр]]/Себестоимость_продаж[[#Totals],[Апр]],"-")</f>
        <v>0.66250660715334475</v>
      </c>
      <c r="V5" s="33">
        <f>IFERROR(Себестоимость_продаж[[#This Row],[Май]]/Себестоимость_продаж[[#Totals],[Май]],"-")</f>
        <v>0.66250660715334475</v>
      </c>
      <c r="W5" s="33">
        <f>IFERROR(Себестоимость_продаж[[#This Row],[Июн]]/Себестоимость_продаж[[#Totals],[Июн]],"-")</f>
        <v>0.66250660715334475</v>
      </c>
      <c r="X5" s="33">
        <f>IFERROR(Себестоимость_продаж[[#This Row],[Июл]]/Себестоимость_продаж[[#Totals],[Июл]],"-")</f>
        <v>0.66250660715334475</v>
      </c>
      <c r="Y5" s="33" t="str">
        <f>IFERROR(Себестоимость_продаж[[#This Row],[Авг]]/Себестоимость_продаж[[#Totals],[Авг]],"-")</f>
        <v>-</v>
      </c>
      <c r="Z5" s="33" t="str">
        <f>IFERROR(Себестоимость_продаж[[#This Row],[Сен]]/Себестоимость_продаж[[#Totals],[Сен]],"-")</f>
        <v>-</v>
      </c>
      <c r="AA5" s="33" t="str">
        <f>IFERROR(Себестоимость_продаж[[#This Row],[Окт]]/Себестоимость_продаж[[#Totals],[Окт]],"-")</f>
        <v>-</v>
      </c>
      <c r="AB5" s="33" t="str">
        <f>IFERROR(Себестоимость_продаж[[#This Row],[Ноя]]/Себестоимость_продаж[[#Totals],[Ноя]],"-")</f>
        <v>-</v>
      </c>
      <c r="AC5" s="33" t="str">
        <f>IFERROR(Себестоимость_продаж[[#This Row],[Дек]]/Себестоимость_продаж[[#Totals],[Дек]],"-")</f>
        <v>-</v>
      </c>
      <c r="AD5" s="33">
        <f>IFERROR(Себестоимость_продаж[[#This Row],[За год]]/Себестоимость_продаж[[#Totals],[За год]],"-")</f>
        <v>0.66029066218464916</v>
      </c>
    </row>
    <row r="6" spans="1:30" ht="30" customHeight="1" x14ac:dyDescent="0.25">
      <c r="B6" s="57" t="s">
        <v>91</v>
      </c>
      <c r="C6" s="26"/>
      <c r="D6" s="30">
        <f>ИсхД!$C38*240</f>
        <v>8400</v>
      </c>
      <c r="E6" s="30">
        <f>ИсхД!$C38*240</f>
        <v>8400</v>
      </c>
      <c r="F6" s="30">
        <f>ИсхД!$C38*240</f>
        <v>8400</v>
      </c>
      <c r="G6" s="30">
        <f>ИсхД!$C38*240</f>
        <v>8400</v>
      </c>
      <c r="H6" s="30">
        <f>ИсхД!$C38*240</f>
        <v>8400</v>
      </c>
      <c r="I6" s="30">
        <f>ИсхД!$C38*240</f>
        <v>8400</v>
      </c>
      <c r="J6" s="30">
        <f>ИсхД!$C38*240</f>
        <v>8400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1">
        <f>SUM(Себестоимость_продаж[[#This Row],[Янв]:[Дек]])</f>
        <v>58800</v>
      </c>
      <c r="Q6" s="23">
        <v>0.18</v>
      </c>
      <c r="R6" s="33">
        <f>IFERROR(Себестоимость_продаж[[#This Row],[Янв]]/Себестоимость_продаж[[#Totals],[Янв]],"-")</f>
        <v>0.24100533654673781</v>
      </c>
      <c r="S6" s="33">
        <f>IFERROR(Себестоимость_продаж[[#This Row],[Фев]]/Себестоимость_продаж[[#Totals],[Фев]],"-")</f>
        <v>0.2466670582016797</v>
      </c>
      <c r="T6" s="33">
        <f>IFERROR(Себестоимость_продаж[[#This Row],[Мар]]/Себестоимость_продаж[[#Totals],[Мар]],"-")</f>
        <v>0.2466670582016797</v>
      </c>
      <c r="U6" s="33">
        <f>IFERROR(Себестоимость_продаж[[#This Row],[Апр]]/Себестоимость_продаж[[#Totals],[Апр]],"-")</f>
        <v>0.2466670582016797</v>
      </c>
      <c r="V6" s="33">
        <f>IFERROR(Себестоимость_продаж[[#This Row],[Май]]/Себестоимость_продаж[[#Totals],[Май]],"-")</f>
        <v>0.2466670582016797</v>
      </c>
      <c r="W6" s="33">
        <f>IFERROR(Себестоимость_продаж[[#This Row],[Июн]]/Себестоимость_продаж[[#Totals],[Июн]],"-")</f>
        <v>0.2466670582016797</v>
      </c>
      <c r="X6" s="33">
        <f>IFERROR(Себестоимость_продаж[[#This Row],[Июл]]/Себестоимость_продаж[[#Totals],[Июл]],"-")</f>
        <v>0.2466670582016797</v>
      </c>
      <c r="Y6" s="33" t="str">
        <f>IFERROR(Себестоимость_продаж[[#This Row],[Авг]]/Себестоимость_продаж[[#Totals],[Авг]],"-")</f>
        <v>-</v>
      </c>
      <c r="Z6" s="33" t="str">
        <f>IFERROR(Себестоимость_продаж[[#This Row],[Сен]]/Себестоимость_продаж[[#Totals],[Сен]],"-")</f>
        <v>-</v>
      </c>
      <c r="AA6" s="33" t="str">
        <f>IFERROR(Себестоимость_продаж[[#This Row],[Окт]]/Себестоимость_продаж[[#Totals],[Окт]],"-")</f>
        <v>-</v>
      </c>
      <c r="AB6" s="33" t="str">
        <f>IFERROR(Себестоимость_продаж[[#This Row],[Ноя]]/Себестоимость_продаж[[#Totals],[Ноя]],"-")</f>
        <v>-</v>
      </c>
      <c r="AC6" s="33" t="str">
        <f>IFERROR(Себестоимость_продаж[[#This Row],[Дек]]/Себестоимость_продаж[[#Totals],[Дек]],"-")</f>
        <v>-</v>
      </c>
      <c r="AD6" s="33">
        <f>IFERROR(Себестоимость_продаж[[#This Row],[За год]]/Себестоимость_продаж[[#Totals],[За год]],"-")</f>
        <v>0.24584200888041538</v>
      </c>
    </row>
    <row r="7" spans="1:30" ht="30" customHeight="1" x14ac:dyDescent="0.25">
      <c r="B7" s="57" t="s">
        <v>100</v>
      </c>
      <c r="C7" s="26"/>
      <c r="D7" s="30">
        <f>ИсхД!$E43</f>
        <v>1600</v>
      </c>
      <c r="E7" s="30">
        <f>ИсхД!$E43</f>
        <v>1600</v>
      </c>
      <c r="F7" s="30">
        <f>ИсхД!$E43</f>
        <v>1600</v>
      </c>
      <c r="G7" s="30">
        <f>ИсхД!$E43</f>
        <v>1600</v>
      </c>
      <c r="H7" s="30">
        <f>ИсхД!$E43</f>
        <v>1600</v>
      </c>
      <c r="I7" s="30">
        <f>ИсхД!$E43</f>
        <v>1600</v>
      </c>
      <c r="J7" s="30">
        <f>ИсхД!$E43</f>
        <v>1600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1">
        <f>SUM(Себестоимость_продаж[[#This Row],[Янв]:[Дек]])</f>
        <v>11200</v>
      </c>
      <c r="Q7" s="23">
        <v>0.19</v>
      </c>
      <c r="R7" s="33">
        <f>IFERROR(Себестоимость_продаж[[#This Row],[Янв]]/Себестоимость_продаж[[#Totals],[Янв]],"-")</f>
        <v>4.5905778389854823E-2</v>
      </c>
      <c r="S7" s="33">
        <f>IFERROR(Себестоимость_продаж[[#This Row],[Фев]]/Себестоимость_продаж[[#Totals],[Фев]],"-")</f>
        <v>4.6984201562224701E-2</v>
      </c>
      <c r="T7" s="33">
        <f>IFERROR(Себестоимость_продаж[[#This Row],[Мар]]/Себестоимость_продаж[[#Totals],[Мар]],"-")</f>
        <v>4.6984201562224701E-2</v>
      </c>
      <c r="U7" s="33">
        <f>IFERROR(Себестоимость_продаж[[#This Row],[Апр]]/Себестоимость_продаж[[#Totals],[Апр]],"-")</f>
        <v>4.6984201562224701E-2</v>
      </c>
      <c r="V7" s="33">
        <f>IFERROR(Себестоимость_продаж[[#This Row],[Май]]/Себестоимость_продаж[[#Totals],[Май]],"-")</f>
        <v>4.6984201562224701E-2</v>
      </c>
      <c r="W7" s="33">
        <f>IFERROR(Себестоимость_продаж[[#This Row],[Июн]]/Себестоимость_продаж[[#Totals],[Июн]],"-")</f>
        <v>4.6984201562224701E-2</v>
      </c>
      <c r="X7" s="33">
        <f>IFERROR(Себестоимость_продаж[[#This Row],[Июл]]/Себестоимость_продаж[[#Totals],[Июл]],"-")</f>
        <v>4.6984201562224701E-2</v>
      </c>
      <c r="Y7" s="33" t="str">
        <f>IFERROR(Себестоимость_продаж[[#This Row],[Авг]]/Себестоимость_продаж[[#Totals],[Авг]],"-")</f>
        <v>-</v>
      </c>
      <c r="Z7" s="33" t="str">
        <f>IFERROR(Себестоимость_продаж[[#This Row],[Сен]]/Себестоимость_продаж[[#Totals],[Сен]],"-")</f>
        <v>-</v>
      </c>
      <c r="AA7" s="33" t="str">
        <f>IFERROR(Себестоимость_продаж[[#This Row],[Окт]]/Себестоимость_продаж[[#Totals],[Окт]],"-")</f>
        <v>-</v>
      </c>
      <c r="AB7" s="33" t="str">
        <f>IFERROR(Себестоимость_продаж[[#This Row],[Ноя]]/Себестоимость_продаж[[#Totals],[Ноя]],"-")</f>
        <v>-</v>
      </c>
      <c r="AC7" s="33" t="str">
        <f>IFERROR(Себестоимость_продаж[[#This Row],[Дек]]/Себестоимость_продаж[[#Totals],[Дек]],"-")</f>
        <v>-</v>
      </c>
      <c r="AD7" s="33">
        <f>IFERROR(Себестоимость_продаж[[#This Row],[За год]]/Себестоимость_продаж[[#Totals],[За год]],"-")</f>
        <v>4.6827049310555313E-2</v>
      </c>
    </row>
    <row r="8" spans="1:30" ht="30" customHeight="1" x14ac:dyDescent="0.25">
      <c r="B8" s="57" t="s">
        <v>93</v>
      </c>
      <c r="C8" s="26"/>
      <c r="D8" s="30">
        <f>ИсхД!$E42</f>
        <v>1000</v>
      </c>
      <c r="E8" s="30">
        <f>ИсхД!$E42</f>
        <v>1000</v>
      </c>
      <c r="F8" s="30">
        <f>ИсхД!$E42</f>
        <v>1000</v>
      </c>
      <c r="G8" s="30">
        <f>ИсхД!$E42</f>
        <v>1000</v>
      </c>
      <c r="H8" s="30">
        <f>ИсхД!$E42</f>
        <v>1000</v>
      </c>
      <c r="I8" s="30">
        <f>ИсхД!$E42</f>
        <v>1000</v>
      </c>
      <c r="J8" s="30">
        <f>ИсхД!$E42</f>
        <v>1000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1">
        <f>SUM(Себестоимость_продаж[[#This Row],[Янв]:[Дек]])</f>
        <v>7000</v>
      </c>
      <c r="Q8" s="23">
        <v>0.11</v>
      </c>
      <c r="R8" s="33">
        <f>IFERROR(Себестоимость_продаж[[#This Row],[Янв]]/Себестоимость_продаж[[#Totals],[Янв]],"-")</f>
        <v>2.8691111493659265E-2</v>
      </c>
      <c r="S8" s="33">
        <f>IFERROR(Себестоимость_продаж[[#This Row],[Фев]]/Себестоимость_продаж[[#Totals],[Фев]],"-")</f>
        <v>2.936512597639044E-2</v>
      </c>
      <c r="T8" s="33">
        <f>IFERROR(Себестоимость_продаж[[#This Row],[Мар]]/Себестоимость_продаж[[#Totals],[Мар]],"-")</f>
        <v>2.936512597639044E-2</v>
      </c>
      <c r="U8" s="33">
        <f>IFERROR(Себестоимость_продаж[[#This Row],[Апр]]/Себестоимость_продаж[[#Totals],[Апр]],"-")</f>
        <v>2.936512597639044E-2</v>
      </c>
      <c r="V8" s="33">
        <f>IFERROR(Себестоимость_продаж[[#This Row],[Май]]/Себестоимость_продаж[[#Totals],[Май]],"-")</f>
        <v>2.936512597639044E-2</v>
      </c>
      <c r="W8" s="33">
        <f>IFERROR(Себестоимость_продаж[[#This Row],[Июн]]/Себестоимость_продаж[[#Totals],[Июн]],"-")</f>
        <v>2.936512597639044E-2</v>
      </c>
      <c r="X8" s="33">
        <f>IFERROR(Себестоимость_продаж[[#This Row],[Июл]]/Себестоимость_продаж[[#Totals],[Июл]],"-")</f>
        <v>2.936512597639044E-2</v>
      </c>
      <c r="Y8" s="33" t="str">
        <f>IFERROR(Себестоимость_продаж[[#This Row],[Авг]]/Себестоимость_продаж[[#Totals],[Авг]],"-")</f>
        <v>-</v>
      </c>
      <c r="Z8" s="33" t="str">
        <f>IFERROR(Себестоимость_продаж[[#This Row],[Сен]]/Себестоимость_продаж[[#Totals],[Сен]],"-")</f>
        <v>-</v>
      </c>
      <c r="AA8" s="33" t="str">
        <f>IFERROR(Себестоимость_продаж[[#This Row],[Окт]]/Себестоимость_продаж[[#Totals],[Окт]],"-")</f>
        <v>-</v>
      </c>
      <c r="AB8" s="33" t="str">
        <f>IFERROR(Себестоимость_продаж[[#This Row],[Ноя]]/Себестоимость_продаж[[#Totals],[Ноя]],"-")</f>
        <v>-</v>
      </c>
      <c r="AC8" s="33" t="str">
        <f>IFERROR(Себестоимость_продаж[[#This Row],[Дек]]/Себестоимость_продаж[[#Totals],[Дек]],"-")</f>
        <v>-</v>
      </c>
      <c r="AD8" s="33">
        <f>IFERROR(Себестоимость_продаж[[#This Row],[За год]]/Себестоимость_продаж[[#Totals],[За год]],"-")</f>
        <v>2.9266905819097071E-2</v>
      </c>
    </row>
    <row r="9" spans="1:30" s="9" customFormat="1" ht="30" customHeight="1" x14ac:dyDescent="0.25">
      <c r="B9" s="57" t="s">
        <v>102</v>
      </c>
      <c r="C9" s="82"/>
      <c r="D9" s="30">
        <f>ИсхД!$E45</f>
        <v>493</v>
      </c>
      <c r="E9" s="30">
        <f>ИсхД!$E45</f>
        <v>493</v>
      </c>
      <c r="F9" s="30">
        <f>ИсхД!$E45</f>
        <v>493</v>
      </c>
      <c r="G9" s="30">
        <f>ИсхД!$E45</f>
        <v>493</v>
      </c>
      <c r="H9" s="30">
        <f>ИсхД!$E45</f>
        <v>493</v>
      </c>
      <c r="I9" s="30">
        <f>ИсхД!$E45</f>
        <v>493</v>
      </c>
      <c r="J9" s="30">
        <f>ИсхД!$E45</f>
        <v>493</v>
      </c>
      <c r="K9" s="30"/>
      <c r="L9" s="30"/>
      <c r="M9" s="30"/>
      <c r="N9" s="30"/>
      <c r="O9" s="30"/>
      <c r="P9" s="31">
        <f>SUM(Себестоимость_продаж[[#This Row],[Янв]:[Дек]])</f>
        <v>3451</v>
      </c>
      <c r="Q9" s="23"/>
      <c r="R9" s="83">
        <f>IFERROR(Себестоимость_продаж[[#This Row],[Янв]]/Себестоимость_продаж[[#Totals],[Янв]],"-")</f>
        <v>1.4144717966374017E-2</v>
      </c>
      <c r="S9" s="83">
        <f>IFERROR(Себестоимость_продаж[[#This Row],[Фев]]/Себестоимость_продаж[[#Totals],[Фев]],"-")</f>
        <v>1.4477007106360486E-2</v>
      </c>
      <c r="T9" s="83">
        <f>IFERROR(Себестоимость_продаж[[#This Row],[Мар]]/Себестоимость_продаж[[#Totals],[Мар]],"-")</f>
        <v>1.4477007106360486E-2</v>
      </c>
      <c r="U9" s="83">
        <f>IFERROR(Себестоимость_продаж[[#This Row],[Апр]]/Себестоимость_продаж[[#Totals],[Апр]],"-")</f>
        <v>1.4477007106360486E-2</v>
      </c>
      <c r="V9" s="83">
        <f>IFERROR(Себестоимость_продаж[[#This Row],[Май]]/Себестоимость_продаж[[#Totals],[Май]],"-")</f>
        <v>1.4477007106360486E-2</v>
      </c>
      <c r="W9" s="83">
        <f>IFERROR(Себестоимость_продаж[[#This Row],[Июн]]/Себестоимость_продаж[[#Totals],[Июн]],"-")</f>
        <v>1.4477007106360486E-2</v>
      </c>
      <c r="X9" s="83">
        <f>IFERROR(Себестоимость_продаж[[#This Row],[Июл]]/Себестоимость_продаж[[#Totals],[Июл]],"-")</f>
        <v>1.4477007106360486E-2</v>
      </c>
      <c r="Y9" s="83" t="str">
        <f>IFERROR(Себестоимость_продаж[[#This Row],[Авг]]/Себестоимость_продаж[[#Totals],[Авг]],"-")</f>
        <v>-</v>
      </c>
      <c r="Z9" s="83" t="str">
        <f>IFERROR(Себестоимость_продаж[[#This Row],[Сен]]/Себестоимость_продаж[[#Totals],[Сен]],"-")</f>
        <v>-</v>
      </c>
      <c r="AA9" s="83" t="str">
        <f>IFERROR(Себестоимость_продаж[[#This Row],[Окт]]/Себестоимость_продаж[[#Totals],[Окт]],"-")</f>
        <v>-</v>
      </c>
      <c r="AB9" s="83" t="str">
        <f>IFERROR(Себестоимость_продаж[[#This Row],[Ноя]]/Себестоимость_продаж[[#Totals],[Ноя]],"-")</f>
        <v>-</v>
      </c>
      <c r="AC9" s="83" t="str">
        <f>IFERROR(Себестоимость_продаж[[#This Row],[Дек]]/Себестоимость_продаж[[#Totals],[Дек]],"-")</f>
        <v>-</v>
      </c>
      <c r="AD9" s="83">
        <f>IFERROR(Себестоимость_продаж[[#This Row],[За год]]/Себестоимость_продаж[[#Totals],[За год]],"-")</f>
        <v>1.4428584568814856E-2</v>
      </c>
    </row>
    <row r="10" spans="1:30" ht="30" customHeight="1" x14ac:dyDescent="0.25">
      <c r="B10" s="57" t="s">
        <v>103</v>
      </c>
      <c r="C10" s="26"/>
      <c r="D10" s="30">
        <v>800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1">
        <f>SUM(Себестоимость_продаж[[#This Row],[Янв]:[Дек]])</f>
        <v>800</v>
      </c>
      <c r="Q10" s="23">
        <v>0.2</v>
      </c>
      <c r="R10" s="33">
        <f>IFERROR(Себестоимость_продаж[[#This Row],[Янв]]/Себестоимость_продаж[[#Totals],[Янв]],"-")</f>
        <v>2.2952889194927412E-2</v>
      </c>
      <c r="S10" s="33">
        <f>IFERROR(Себестоимость_продаж[[#This Row],[Фев]]/Себестоимость_продаж[[#Totals],[Фев]],"-")</f>
        <v>0</v>
      </c>
      <c r="T10" s="33">
        <f>IFERROR(Себестоимость_продаж[[#This Row],[Мар]]/Себестоимость_продаж[[#Totals],[Мар]],"-")</f>
        <v>0</v>
      </c>
      <c r="U10" s="33">
        <f>IFERROR(Себестоимость_продаж[[#This Row],[Апр]]/Себестоимость_продаж[[#Totals],[Апр]],"-")</f>
        <v>0</v>
      </c>
      <c r="V10" s="33">
        <f>IFERROR(Себестоимость_продаж[[#This Row],[Май]]/Себестоимость_продаж[[#Totals],[Май]],"-")</f>
        <v>0</v>
      </c>
      <c r="W10" s="33">
        <f>IFERROR(Себестоимость_продаж[[#This Row],[Июн]]/Себестоимость_продаж[[#Totals],[Июн]],"-")</f>
        <v>0</v>
      </c>
      <c r="X10" s="33">
        <f>IFERROR(Себестоимость_продаж[[#This Row],[Июл]]/Себестоимость_продаж[[#Totals],[Июл]],"-")</f>
        <v>0</v>
      </c>
      <c r="Y10" s="33" t="str">
        <f>IFERROR(Себестоимость_продаж[[#This Row],[Авг]]/Себестоимость_продаж[[#Totals],[Авг]],"-")</f>
        <v>-</v>
      </c>
      <c r="Z10" s="33" t="str">
        <f>IFERROR(Себестоимость_продаж[[#This Row],[Сен]]/Себестоимость_продаж[[#Totals],[Сен]],"-")</f>
        <v>-</v>
      </c>
      <c r="AA10" s="33" t="str">
        <f>IFERROR(Себестоимость_продаж[[#This Row],[Окт]]/Себестоимость_продаж[[#Totals],[Окт]],"-")</f>
        <v>-</v>
      </c>
      <c r="AB10" s="33" t="str">
        <f>IFERROR(Себестоимость_продаж[[#This Row],[Ноя]]/Себестоимость_продаж[[#Totals],[Ноя]],"-")</f>
        <v>-</v>
      </c>
      <c r="AC10" s="33" t="str">
        <f>IFERROR(Себестоимость_продаж[[#This Row],[Дек]]/Себестоимость_продаж[[#Totals],[Дек]],"-")</f>
        <v>-</v>
      </c>
      <c r="AD10" s="33">
        <f>IFERROR(Себестоимость_продаж[[#This Row],[За год]]/Себестоимость_продаж[[#Totals],[За год]],"-")</f>
        <v>3.3447892364682368E-3</v>
      </c>
    </row>
    <row r="11" spans="1:30" ht="30" customHeight="1" x14ac:dyDescent="0.25">
      <c r="B11" s="57">
        <v>0</v>
      </c>
      <c r="C11" s="26"/>
      <c r="D11" s="30"/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1">
        <f>SUM(Себестоимость_продаж[[#This Row],[Янв]:[Дек]])</f>
        <v>0</v>
      </c>
      <c r="Q11" s="23">
        <v>0.1</v>
      </c>
      <c r="R11" s="33">
        <f>IFERROR(Себестоимость_продаж[[#This Row],[Янв]]/Себестоимость_продаж[[#Totals],[Янв]],"-")</f>
        <v>0</v>
      </c>
      <c r="S11" s="33">
        <f>IFERROR(Себестоимость_продаж[[#This Row],[Фев]]/Себестоимость_продаж[[#Totals],[Фев]],"-")</f>
        <v>0</v>
      </c>
      <c r="T11" s="33">
        <f>IFERROR(Себестоимость_продаж[[#This Row],[Мар]]/Себестоимость_продаж[[#Totals],[Мар]],"-")</f>
        <v>0</v>
      </c>
      <c r="U11" s="33">
        <f>IFERROR(Себестоимость_продаж[[#This Row],[Апр]]/Себестоимость_продаж[[#Totals],[Апр]],"-")</f>
        <v>0</v>
      </c>
      <c r="V11" s="33">
        <f>IFERROR(Себестоимость_продаж[[#This Row],[Май]]/Себестоимость_продаж[[#Totals],[Май]],"-")</f>
        <v>0</v>
      </c>
      <c r="W11" s="33">
        <f>IFERROR(Себестоимость_продаж[[#This Row],[Июн]]/Себестоимость_продаж[[#Totals],[Июн]],"-")</f>
        <v>0</v>
      </c>
      <c r="X11" s="33">
        <f>IFERROR(Себестоимость_продаж[[#This Row],[Июл]]/Себестоимость_продаж[[#Totals],[Июл]],"-")</f>
        <v>0</v>
      </c>
      <c r="Y11" s="33" t="str">
        <f>IFERROR(Себестоимость_продаж[[#This Row],[Авг]]/Себестоимость_продаж[[#Totals],[Авг]],"-")</f>
        <v>-</v>
      </c>
      <c r="Z11" s="33" t="str">
        <f>IFERROR(Себестоимость_продаж[[#This Row],[Сен]]/Себестоимость_продаж[[#Totals],[Сен]],"-")</f>
        <v>-</v>
      </c>
      <c r="AA11" s="33" t="str">
        <f>IFERROR(Себестоимость_продаж[[#This Row],[Окт]]/Себестоимость_продаж[[#Totals],[Окт]],"-")</f>
        <v>-</v>
      </c>
      <c r="AB11" s="33" t="str">
        <f>IFERROR(Себестоимость_продаж[[#This Row],[Ноя]]/Себестоимость_продаж[[#Totals],[Ноя]],"-")</f>
        <v>-</v>
      </c>
      <c r="AC11" s="33" t="str">
        <f>IFERROR(Себестоимость_продаж[[#This Row],[Дек]]/Себестоимость_продаж[[#Totals],[Дек]],"-")</f>
        <v>-</v>
      </c>
      <c r="AD11" s="33">
        <f>IFERROR(Себестоимость_продаж[[#This Row],[За год]]/Себестоимость_продаж[[#Totals],[За год]],"-")</f>
        <v>0</v>
      </c>
    </row>
    <row r="12" spans="1:30" ht="30" customHeight="1" x14ac:dyDescent="0.25">
      <c r="A12" s="2"/>
      <c r="B12" s="57">
        <v>0</v>
      </c>
      <c r="C12" s="26"/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1">
        <f>SUM(Себестоимость_продаж[[#This Row],[Янв]:[Дек]])</f>
        <v>0</v>
      </c>
      <c r="Q12" s="23">
        <v>0.1</v>
      </c>
      <c r="R12" s="33">
        <f>IFERROR(Себестоимость_продаж[[#This Row],[Янв]]/Себестоимость_продаж[[#Totals],[Янв]],"-")</f>
        <v>0</v>
      </c>
      <c r="S12" s="33">
        <f>IFERROR(Себестоимость_продаж[[#This Row],[Фев]]/Себестоимость_продаж[[#Totals],[Фев]],"-")</f>
        <v>0</v>
      </c>
      <c r="T12" s="33">
        <f>IFERROR(Себестоимость_продаж[[#This Row],[Мар]]/Себестоимость_продаж[[#Totals],[Мар]],"-")</f>
        <v>0</v>
      </c>
      <c r="U12" s="33">
        <f>IFERROR(Себестоимость_продаж[[#This Row],[Апр]]/Себестоимость_продаж[[#Totals],[Апр]],"-")</f>
        <v>0</v>
      </c>
      <c r="V12" s="33">
        <f>IFERROR(Себестоимость_продаж[[#This Row],[Май]]/Себестоимость_продаж[[#Totals],[Май]],"-")</f>
        <v>0</v>
      </c>
      <c r="W12" s="33">
        <f>IFERROR(Себестоимость_продаж[[#This Row],[Июн]]/Себестоимость_продаж[[#Totals],[Июн]],"-")</f>
        <v>0</v>
      </c>
      <c r="X12" s="33">
        <f>IFERROR(Себестоимость_продаж[[#This Row],[Июл]]/Себестоимость_продаж[[#Totals],[Июл]],"-")</f>
        <v>0</v>
      </c>
      <c r="Y12" s="33" t="str">
        <f>IFERROR(Себестоимость_продаж[[#This Row],[Авг]]/Себестоимость_продаж[[#Totals],[Авг]],"-")</f>
        <v>-</v>
      </c>
      <c r="Z12" s="33" t="str">
        <f>IFERROR(Себестоимость_продаж[[#This Row],[Сен]]/Себестоимость_продаж[[#Totals],[Сен]],"-")</f>
        <v>-</v>
      </c>
      <c r="AA12" s="33" t="str">
        <f>IFERROR(Себестоимость_продаж[[#This Row],[Окт]]/Себестоимость_продаж[[#Totals],[Окт]],"-")</f>
        <v>-</v>
      </c>
      <c r="AB12" s="33" t="str">
        <f>IFERROR(Себестоимость_продаж[[#This Row],[Ноя]]/Себестоимость_продаж[[#Totals],[Ноя]],"-")</f>
        <v>-</v>
      </c>
      <c r="AC12" s="33" t="str">
        <f>IFERROR(Себестоимость_продаж[[#This Row],[Дек]]/Себестоимость_продаж[[#Totals],[Дек]],"-")</f>
        <v>-</v>
      </c>
      <c r="AD12" s="33">
        <f>IFERROR(Себестоимость_продаж[[#This Row],[За год]]/Себестоимость_продаж[[#Totals],[За год]],"-")</f>
        <v>0</v>
      </c>
    </row>
    <row r="13" spans="1:30" ht="30" customHeight="1" x14ac:dyDescent="0.25">
      <c r="A13" s="10"/>
      <c r="B13" s="68" t="s">
        <v>39</v>
      </c>
      <c r="C13" s="69"/>
      <c r="D13" s="70">
        <f>SUBTOTAL(109,Себестоимость_продаж[Янв])</f>
        <v>34854</v>
      </c>
      <c r="E13" s="70">
        <f>SUBTOTAL(109,Себестоимость_продаж[Фев])</f>
        <v>34054</v>
      </c>
      <c r="F13" s="70">
        <f>SUBTOTAL(109,Себестоимость_продаж[Мар])</f>
        <v>34054</v>
      </c>
      <c r="G13" s="70">
        <f>SUBTOTAL(109,Себестоимость_продаж[Апр])</f>
        <v>34054</v>
      </c>
      <c r="H13" s="70">
        <f>SUBTOTAL(109,Себестоимость_продаж[Май])</f>
        <v>34054</v>
      </c>
      <c r="I13" s="70">
        <f>SUBTOTAL(109,Себестоимость_продаж[Июн])</f>
        <v>34054</v>
      </c>
      <c r="J13" s="70">
        <f>SUBTOTAL(109,Себестоимость_продаж[Июл])</f>
        <v>34054</v>
      </c>
      <c r="K13" s="70">
        <f>SUBTOTAL(109,Себестоимость_продаж[Авг])</f>
        <v>0</v>
      </c>
      <c r="L13" s="70">
        <f>SUBTOTAL(109,Себестоимость_продаж[Сен])</f>
        <v>0</v>
      </c>
      <c r="M13" s="70">
        <f>SUBTOTAL(109,Себестоимость_продаж[Окт])</f>
        <v>0</v>
      </c>
      <c r="N13" s="70">
        <f>SUBTOTAL(109,Себестоимость_продаж[Ноя])</f>
        <v>0</v>
      </c>
      <c r="O13" s="70">
        <f>SUBTOTAL(109,Себестоимость_продаж[Дек])</f>
        <v>0</v>
      </c>
      <c r="P13" s="70">
        <f>SUBTOTAL(109,Себестоимость_продаж[За год])</f>
        <v>239178.00000000003</v>
      </c>
      <c r="Q13" s="81">
        <f>SUBTOTAL(109,Себестоимость_продаж[Индекс (%)])</f>
        <v>1</v>
      </c>
      <c r="R13" s="71">
        <f>SUBTOTAL(109,Себестоимость_продаж[Янв (%)])</f>
        <v>1</v>
      </c>
      <c r="S13" s="71">
        <f>SUBTOTAL(109,Себестоимость_продаж[Фев (%)])</f>
        <v>1</v>
      </c>
      <c r="T13" s="71">
        <f>SUBTOTAL(109,Себестоимость_продаж[Мар (%)])</f>
        <v>1</v>
      </c>
      <c r="U13" s="71">
        <f>SUBTOTAL(109,Себестоимость_продаж[Апр (%)])</f>
        <v>1</v>
      </c>
      <c r="V13" s="71">
        <f>SUBTOTAL(109,Себестоимость_продаж[Май (%)])</f>
        <v>1</v>
      </c>
      <c r="W13" s="71">
        <f>SUBTOTAL(109,Себестоимость_продаж[Июн (%)])</f>
        <v>1</v>
      </c>
      <c r="X13" s="71">
        <f>SUBTOTAL(109,Себестоимость_продаж[Июл (%)])</f>
        <v>1</v>
      </c>
      <c r="Y13" s="71">
        <f>SUBTOTAL(109,Себестоимость_продаж[Авг (%)])</f>
        <v>0</v>
      </c>
      <c r="Z13" s="71">
        <f>SUBTOTAL(109,Себестоимость_продаж[Сен (%)])</f>
        <v>0</v>
      </c>
      <c r="AA13" s="71">
        <f>SUBTOTAL(109,Себестоимость_продаж[Окт (%)])</f>
        <v>0</v>
      </c>
      <c r="AB13" s="71">
        <f>SUBTOTAL(109,Себестоимость_продаж[Ноя (%)])</f>
        <v>0</v>
      </c>
      <c r="AC13" s="71">
        <f>SUBTOTAL(109,Себестоимость_продаж[Дек (%)])</f>
        <v>0</v>
      </c>
      <c r="AD13" s="71">
        <f>SUBTOTAL(109,Себестоимость_продаж[Год (%)])</f>
        <v>1.0000000000000002</v>
      </c>
    </row>
    <row r="14" spans="1:30" ht="30" customHeight="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30" customHeight="1" x14ac:dyDescent="0.25">
      <c r="B15" s="11" t="s">
        <v>40</v>
      </c>
      <c r="C15" s="11"/>
      <c r="D15" s="32">
        <f>Доходы[[#Totals],[Янв]]-Себестоимость_продаж[[#Totals],[Янв]]</f>
        <v>119587.875</v>
      </c>
      <c r="E15" s="32">
        <f>Доходы[[#Totals],[Фев]]-Себестоимость_продаж[[#Totals],[Фев]]</f>
        <v>120387.875</v>
      </c>
      <c r="F15" s="32">
        <f>Доходы[[#Totals],[Мар]]-Себестоимость_продаж[[#Totals],[Мар]]</f>
        <v>120387.875</v>
      </c>
      <c r="G15" s="32">
        <f>Доходы[[#Totals],[Апр]]-Себестоимость_продаж[[#Totals],[Апр]]</f>
        <v>120387.875</v>
      </c>
      <c r="H15" s="32">
        <f>Доходы[[#Totals],[Май]]-Себестоимость_продаж[[#Totals],[Май]]</f>
        <v>120387.875</v>
      </c>
      <c r="I15" s="32">
        <f>Доходы[[#Totals],[Июн]]-Себестоимость_продаж[[#Totals],[Июн]]</f>
        <v>120387.875</v>
      </c>
      <c r="J15" s="32">
        <f>Доходы[[#Totals],[Июл]]-Себестоимость_продаж[[#Totals],[Июл]]</f>
        <v>120387.875</v>
      </c>
      <c r="K15" s="32">
        <f>Доходы[[#Totals],[Авг]]-Себестоимость_продаж[[#Totals],[Авг]]</f>
        <v>0</v>
      </c>
      <c r="L15" s="32">
        <f>Доходы[[#Totals],[Сен]]-Себестоимость_продаж[[#Totals],[Сен]]</f>
        <v>0</v>
      </c>
      <c r="M15" s="32">
        <f>Доходы[[#Totals],[Окт]]-Себестоимость_продаж[[#Totals],[Окт]]</f>
        <v>0</v>
      </c>
      <c r="N15" s="32">
        <f>Доходы[[#Totals],[Ноя]]-Себестоимость_продаж[[#Totals],[Ноя]]</f>
        <v>0</v>
      </c>
      <c r="O15" s="32">
        <f>Доходы[[#Totals],[Дек]]-Себестоимость_продаж[[#Totals],[Дек]]</f>
        <v>0</v>
      </c>
      <c r="P15" s="32">
        <f>Доходы[[#Totals],[За год]]-Себестоимость_продаж[[#Totals],[За год]]</f>
        <v>841915.125</v>
      </c>
      <c r="Q15" s="11"/>
      <c r="R15" s="13">
        <f t="shared" ref="R15:AD15" si="1">D15/$P$15</f>
        <v>0.14204267324452688</v>
      </c>
      <c r="S15" s="13">
        <f t="shared" si="1"/>
        <v>0.14299288779257885</v>
      </c>
      <c r="T15" s="13">
        <f t="shared" si="1"/>
        <v>0.14299288779257885</v>
      </c>
      <c r="U15" s="13">
        <f t="shared" si="1"/>
        <v>0.14299288779257885</v>
      </c>
      <c r="V15" s="13">
        <f t="shared" si="1"/>
        <v>0.14299288779257885</v>
      </c>
      <c r="W15" s="13">
        <f t="shared" si="1"/>
        <v>0.14299288779257885</v>
      </c>
      <c r="X15" s="13">
        <f t="shared" si="1"/>
        <v>0.14299288779257885</v>
      </c>
      <c r="Y15" s="13">
        <f t="shared" si="1"/>
        <v>0</v>
      </c>
      <c r="Z15" s="13">
        <f t="shared" si="1"/>
        <v>0</v>
      </c>
      <c r="AA15" s="13">
        <f t="shared" si="1"/>
        <v>0</v>
      </c>
      <c r="AB15" s="13">
        <f t="shared" si="1"/>
        <v>0</v>
      </c>
      <c r="AC15" s="13">
        <f t="shared" si="1"/>
        <v>0</v>
      </c>
      <c r="AD15" s="13">
        <f t="shared" si="1"/>
        <v>1</v>
      </c>
    </row>
    <row r="17" spans="3:18" ht="30" customHeight="1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3:18" ht="30" customHeight="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3:18" ht="30" customHeight="1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</sheetData>
  <dataValidations count="18">
    <dataValidation allowBlank="1" showInputMessage="1" showErrorMessage="1" prompt="В этой строке автоматически вычисляется валовая прибыль за каждый месяц и год, исходя из общего объема и общей себестоимости продаж." sqref="B15"/>
    <dataValidation allowBlank="1" showInputMessage="1" showErrorMessage="1" prompt="На этом листе вычисляется общая себестоимость продаж за каждый месяц и год, а также годовая себестоимость продаж по статьям. На основе записей автоматически вычисляется валовая прибыль." sqref="A1"/>
    <dataValidation allowBlank="1" showInputMessage="1" showErrorMessage="1" prompt="Эта ячейка обновляется автоматически в соответствии с заголовком прогнозного периода на листе &quot;Доходы (продажи)&quot;." sqref="B1"/>
    <dataValidation allowBlank="1" showInputMessage="1" showErrorMessage="1" prompt="Название организации обновляется автоматически на основе записи с листа &quot;Доходы (продажи)&quot;." sqref="AD1"/>
    <dataValidation allowBlank="1" showInputMessage="1" showErrorMessage="1" prompt="Автоматически обновляемый заголовок с листа &quot;Доходы (продажи)&quot;. Для вычисления общей себестоимости продаж введите значения в таблицу &quot;Себестоимость продаж&quot;." sqref="B2"/>
    <dataValidation allowBlank="1" showInputMessage="1" showErrorMessage="1" prompt="В ячейках справа автоматически обновляются месяц и год. Месяц или год можно изменить в ячейках AC2 и AD2 на листе &quot;Доходы (продажи)&quot;." sqref="AB2"/>
    <dataValidation allowBlank="1" showInputMessage="1" showErrorMessage="1" prompt="Введите в этом столбце процентный индекс." sqref="Q4"/>
    <dataValidation allowBlank="1" showInputMessage="1" showErrorMessage="1" prompt="Введите в этом столбце себестоимость источников, указанных в столбце B." sqref="D4:O4"/>
    <dataValidation allowBlank="1" showInputMessage="1" showErrorMessage="1" prompt="Этот столбец содержит диаграмму изменения затрат по времени." sqref="C4"/>
    <dataValidation allowBlank="1" showInputMessage="1" showErrorMessage="1" prompt="Введите в этом столбце себестоимость продаж." sqref="B4"/>
    <dataValidation allowBlank="1" showInputMessage="1" showErrorMessage="1" prompt="В этом столбце автоматически вычисляется доля себестоимости продаж из разных источников в общем объеме продаж за год." sqref="AD3"/>
    <dataValidation allowBlank="1" showInputMessage="1" showErrorMessage="1" prompt="В этом столбце автоматически вычисляется доля себестоимости продаж из разных источников в общем объеме продаж за месяц в этой ячейке." sqref="R3:AC3"/>
    <dataValidation allowBlank="1" showInputMessage="1" showErrorMessage="1" prompt="Автоматически обновляемый месяц" sqref="E3:O3"/>
    <dataValidation allowBlank="1" showInputMessage="1" showErrorMessage="1" prompt="Даты в этой строке обновляются автоматически в зависимости от первого месяца финансового года. Первый месяц можно изменить в ячейке AC2 на листе &quot;Доходы (продажи)&quot;." sqref="D3"/>
    <dataValidation allowBlank="1" showInputMessage="1" showErrorMessage="1" prompt="В этом столбце автоматически вычисляется годовая себестоимость." sqref="P3"/>
    <dataValidation allowBlank="1" showInputMessage="1" showErrorMessage="1" prompt="Этот столбец содержит процентный индекс." sqref="Q3"/>
    <dataValidation allowBlank="1" showInputMessage="1" showErrorMessage="1" prompt="Автоматически обновляемый месяц. Можно изменить в ячейке AC2 на листе &quot;Доходы (продажи)&quot;." sqref="AC2"/>
    <dataValidation allowBlank="1" showInputMessage="1" showErrorMessage="1" prompt="Автоматически обновляемый год. Можно изменить в ячейке AD2 на листе &quot;Доходы (продажи)&quot;." sqref="AD2"/>
  </dataValidations>
  <printOptions horizontalCentered="1"/>
  <pageMargins left="0.25" right="0.25" top="0.75" bottom="0.75" header="0.3" footer="0.3"/>
  <pageSetup paperSize="9" scale="45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3"/>
          <x14:colorLow theme="3"/>
          <x14:sparklines>
            <x14:sparkline>
              <xm:f>'Себестоимость продаж'!D5:O5</xm:f>
              <xm:sqref>C5</xm:sqref>
            </x14:sparkline>
            <x14:sparkline>
              <xm:f>'Себестоимость продаж'!D6:O6</xm:f>
              <xm:sqref>C6</xm:sqref>
            </x14:sparkline>
            <x14:sparkline>
              <xm:f>'Себестоимость продаж'!D7:O7</xm:f>
              <xm:sqref>C7</xm:sqref>
            </x14:sparkline>
            <x14:sparkline>
              <xm:f>'Себестоимость продаж'!D8:O8</xm:f>
              <xm:sqref>C8</xm:sqref>
            </x14:sparkline>
            <x14:sparkline>
              <xm:f>'Себестоимость продаж'!D9:O9</xm:f>
              <xm:sqref>C9</xm:sqref>
            </x14:sparkline>
            <x14:sparkline>
              <xm:f>'Себестоимость продаж'!D10:O10</xm:f>
              <xm:sqref>C10</xm:sqref>
            </x14:sparkline>
            <x14:sparkline>
              <xm:f>'Себестоимость продаж'!D11:O11</xm:f>
              <xm:sqref>C11</xm:sqref>
            </x14:sparkline>
            <x14:sparkline>
              <xm:f>'Себестоимость продаж'!D12:O12</xm:f>
              <xm:sqref>C12</xm:sqref>
            </x14:sparkline>
          </x14:sparklines>
        </x14:sparklineGroup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3"/>
          <x14:colorLow theme="3"/>
          <x14:sparklines>
            <x14:sparkline>
              <xm:f>'Себестоимость продаж'!D13:O13</xm:f>
              <xm:sqref>C13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D32"/>
  <sheetViews>
    <sheetView showGridLines="0" zoomScaleNormal="100" zoomScaleSheetLayoutView="40" workbookViewId="0">
      <pane ySplit="3" topLeftCell="A19" activePane="bottomLeft" state="frozen"/>
      <selection activeCell="D1" sqref="D1:O1048576"/>
      <selection pane="bottomLeft" activeCell="D14" sqref="D14"/>
    </sheetView>
  </sheetViews>
  <sheetFormatPr defaultRowHeight="30" customHeight="1" x14ac:dyDescent="0.25"/>
  <cols>
    <col min="1" max="1" width="2.59765625" customWidth="1"/>
    <col min="2" max="2" width="32.8984375" customWidth="1"/>
    <col min="3" max="3" width="12.59765625" customWidth="1"/>
    <col min="4" max="15" width="13.69921875" customWidth="1"/>
    <col min="16" max="16" width="12.09765625" customWidth="1"/>
    <col min="17" max="17" width="9.19921875" customWidth="1"/>
    <col min="18" max="29" width="8.69921875" customWidth="1"/>
    <col min="30" max="30" width="9.8984375" customWidth="1"/>
    <col min="31" max="31" width="2.59765625" customWidth="1"/>
  </cols>
  <sheetData>
    <row r="1" spans="1:30" ht="35.1" customHeight="1" x14ac:dyDescent="0.25">
      <c r="A1" s="6"/>
      <c r="B1" s="19" t="str">
        <f>Projection_Period_Title</f>
        <v>Двенадцать месяцев</v>
      </c>
      <c r="C1" s="9"/>
      <c r="J1" s="8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6" t="str">
        <f>Название_организации</f>
        <v>Название организации</v>
      </c>
    </row>
    <row r="2" spans="1:30" ht="60" customHeight="1" x14ac:dyDescent="0.25">
      <c r="B2" s="4" t="str">
        <f>'Доходы (продажи)'!$B$2</f>
        <v>ОЦЕНКА ПРИБЫЛЕЙ И УБЫТКОВ</v>
      </c>
      <c r="E2" s="3"/>
      <c r="G2" s="3"/>
      <c r="K2" s="3"/>
      <c r="L2" s="3"/>
      <c r="M2" s="3"/>
      <c r="N2" s="3"/>
      <c r="O2" s="3"/>
      <c r="X2" s="5"/>
      <c r="Y2" s="5"/>
      <c r="Z2" s="5"/>
      <c r="AA2" s="5"/>
      <c r="AB2" s="17" t="s">
        <v>41</v>
      </c>
      <c r="AC2" s="17" t="str">
        <f>FYMonthStart</f>
        <v>ЯНВ</v>
      </c>
      <c r="AD2" s="17">
        <f ca="1">FYStartYear</f>
        <v>2019</v>
      </c>
    </row>
    <row r="3" spans="1:30" ht="20.100000000000001" customHeight="1" x14ac:dyDescent="0.25">
      <c r="D3" s="18" t="str">
        <f ca="1">UPPER(TEXT(DATE(FYStartYear,FYMonthNo,1),"ГГ МММ"))</f>
        <v>19 ЯНВ</v>
      </c>
      <c r="E3" s="18" t="str">
        <f ca="1">UPPER(TEXT(DATE(FYStartYear,FYMonthNo+1,1),"ГГ МММ"))</f>
        <v>19 ФЕВ</v>
      </c>
      <c r="F3" s="18" t="str">
        <f ca="1">UPPER(TEXT(DATE(FYStartYear,FYMonthNo+2,1),"ГГ МММ"))</f>
        <v>19 МАР</v>
      </c>
      <c r="G3" s="18" t="str">
        <f ca="1">UPPER(TEXT(DATE(FYStartYear,FYMonthNo+3,1),"ГГ МММ"))</f>
        <v>19 АПР</v>
      </c>
      <c r="H3" s="18" t="str">
        <f ca="1">UPPER(TEXT(DATE(FYStartYear,FYMonthNo+4,1),"ГГ МММ"))</f>
        <v>19 МАЙ</v>
      </c>
      <c r="I3" s="18" t="str">
        <f ca="1">UPPER(TEXT(DATE(FYStartYear,FYMonthNo+5,1),"ГГ МММ"))</f>
        <v>19 ИЮН</v>
      </c>
      <c r="J3" s="18" t="str">
        <f ca="1">UPPER(TEXT(DATE(FYStartYear,FYMonthNo+6,1),"ГГ МММ"))</f>
        <v>19 ИЮЛ</v>
      </c>
      <c r="K3" s="18" t="str">
        <f ca="1">UPPER(TEXT(DATE(FYStartYear,FYMonthNo+7,1),"ГГ МММ"))</f>
        <v>19 АВГ</v>
      </c>
      <c r="L3" s="18" t="str">
        <f ca="1">UPPER(TEXT(DATE(FYStartYear,FYMonthNo+8,1),"ГГ МММ"))</f>
        <v>19 СЕН</v>
      </c>
      <c r="M3" s="18" t="str">
        <f ca="1">UPPER(TEXT(DATE(FYStartYear,FYMonthNo+9,1),"ГГ МММ"))</f>
        <v>19 ОКТ</v>
      </c>
      <c r="N3" s="18" t="str">
        <f ca="1">UPPER(TEXT(DATE(FYStartYear,FYMonthNo+10,1),"ГГ МММ"))</f>
        <v>19 НОЯ</v>
      </c>
      <c r="O3" s="18" t="str">
        <f ca="1">UPPER(TEXT(DATE(FYStartYear,FYMonthNo+11,1),"ГГ МММ"))</f>
        <v>19 ДЕК</v>
      </c>
      <c r="P3" s="18" t="s">
        <v>17</v>
      </c>
      <c r="Q3" s="18" t="s">
        <v>19</v>
      </c>
      <c r="R3" s="18" t="str">
        <f ca="1">RIGHT(D3,3)&amp;" %"</f>
        <v>ЯНВ %</v>
      </c>
      <c r="S3" s="18" t="str">
        <f t="shared" ref="S3:AC3" ca="1" si="0">RIGHT(E3,3)&amp;" %"</f>
        <v>ФЕВ %</v>
      </c>
      <c r="T3" s="18" t="str">
        <f t="shared" ca="1" si="0"/>
        <v>МАР %</v>
      </c>
      <c r="U3" s="18" t="str">
        <f t="shared" ca="1" si="0"/>
        <v>АПР %</v>
      </c>
      <c r="V3" s="18" t="str">
        <f t="shared" ca="1" si="0"/>
        <v>МАЙ %</v>
      </c>
      <c r="W3" s="18" t="str">
        <f t="shared" ca="1" si="0"/>
        <v>ИЮН %</v>
      </c>
      <c r="X3" s="18" t="str">
        <f t="shared" ca="1" si="0"/>
        <v>ИЮЛ %</v>
      </c>
      <c r="Y3" s="18" t="str">
        <f t="shared" ca="1" si="0"/>
        <v>АВГ %</v>
      </c>
      <c r="Z3" s="18" t="str">
        <f t="shared" ca="1" si="0"/>
        <v>СЕН %</v>
      </c>
      <c r="AA3" s="18" t="str">
        <f t="shared" ca="1" si="0"/>
        <v>ОКТ %</v>
      </c>
      <c r="AB3" s="18" t="str">
        <f t="shared" ca="1" si="0"/>
        <v>НОЯ %</v>
      </c>
      <c r="AC3" s="18" t="str">
        <f t="shared" ca="1" si="0"/>
        <v>ДЕК %</v>
      </c>
      <c r="AD3" s="18" t="s">
        <v>36</v>
      </c>
    </row>
    <row r="4" spans="1:30" ht="30" customHeight="1" x14ac:dyDescent="0.25">
      <c r="B4" s="24" t="s">
        <v>42</v>
      </c>
      <c r="C4" s="24" t="s">
        <v>4</v>
      </c>
      <c r="D4" s="20" t="s">
        <v>55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1" t="s">
        <v>20</v>
      </c>
      <c r="R4" s="21" t="s">
        <v>21</v>
      </c>
      <c r="S4" s="21" t="s">
        <v>22</v>
      </c>
      <c r="T4" s="21" t="s">
        <v>23</v>
      </c>
      <c r="U4" s="21" t="s">
        <v>24</v>
      </c>
      <c r="V4" s="21" t="s">
        <v>25</v>
      </c>
      <c r="W4" s="21" t="s">
        <v>26</v>
      </c>
      <c r="X4" s="21" t="s">
        <v>27</v>
      </c>
      <c r="Y4" s="21" t="s">
        <v>28</v>
      </c>
      <c r="Z4" s="21" t="s">
        <v>29</v>
      </c>
      <c r="AA4" s="21" t="s">
        <v>30</v>
      </c>
      <c r="AB4" s="21" t="s">
        <v>32</v>
      </c>
      <c r="AC4" s="21" t="s">
        <v>34</v>
      </c>
      <c r="AD4" s="20" t="s">
        <v>37</v>
      </c>
    </row>
    <row r="5" spans="1:30" ht="30" customHeight="1" x14ac:dyDescent="0.25">
      <c r="B5" s="57" t="s">
        <v>90</v>
      </c>
      <c r="C5" s="27" t="s">
        <v>54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8">
        <f>SUM(tblExpenses[[#This Row],[Столбец1]:[Дек]])</f>
        <v>0</v>
      </c>
      <c r="Q5" s="23">
        <v>0.12</v>
      </c>
      <c r="R5" s="29">
        <f>tblExpenses[[#This Row],[Столбец1]]/tblExpenses[[#Totals],[Столбец1]]</f>
        <v>0</v>
      </c>
      <c r="S5" s="29">
        <f>tblExpenses[[#This Row],[Фев]]/tblExpenses[[#Totals],[Фев]]</f>
        <v>0</v>
      </c>
      <c r="T5" s="29">
        <f>tblExpenses[[#This Row],[Мар]]/tblExpenses[[#Totals],[Мар]]</f>
        <v>0</v>
      </c>
      <c r="U5" s="29">
        <f>tblExpenses[[#This Row],[Апр]]/tblExpenses[[#Totals],[Апр]]</f>
        <v>0</v>
      </c>
      <c r="V5" s="29">
        <f>tblExpenses[[#This Row],[Май]]/tblExpenses[[#Totals],[Май]]</f>
        <v>0</v>
      </c>
      <c r="W5" s="29">
        <f>tblExpenses[[#This Row],[Июн]]/tblExpenses[[#Totals],[Июн]]</f>
        <v>0</v>
      </c>
      <c r="X5" s="29">
        <f>tblExpenses[[#This Row],[Июл]]/tblExpenses[[#Totals],[Июл]]</f>
        <v>0</v>
      </c>
      <c r="Y5" s="29">
        <f>tblExpenses[[#This Row],[Авг]]/tblExpenses[[#Totals],[Авг]]</f>
        <v>0</v>
      </c>
      <c r="Z5" s="29">
        <f>tblExpenses[[#This Row],[Сен]]/tblExpenses[[#Totals],[Сен]]</f>
        <v>0</v>
      </c>
      <c r="AA5" s="29">
        <f>tblExpenses[[#This Row],[Окт]]/tblExpenses[[#Totals],[Окт]]</f>
        <v>0</v>
      </c>
      <c r="AB5" s="29">
        <f>tblExpenses[[#This Row],[Ноя]]/tblExpenses[[#Totals],[Ноя]]</f>
        <v>0</v>
      </c>
      <c r="AC5" s="29">
        <f>tblExpenses[[#This Row],[Дек]]/tblExpenses[[#Totals],[Дек]]</f>
        <v>0</v>
      </c>
      <c r="AD5" s="29">
        <f>tblExpenses[[#This Row],[За год]]/tblExpenses[[#Totals],[За год]]</f>
        <v>0</v>
      </c>
    </row>
    <row r="6" spans="1:30" ht="30" customHeight="1" x14ac:dyDescent="0.25">
      <c r="B6" s="57" t="s">
        <v>90</v>
      </c>
      <c r="C6" s="27" t="s">
        <v>54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8">
        <f>SUM(tblExpenses[[#This Row],[Столбец1]:[Дек]])</f>
        <v>0</v>
      </c>
      <c r="Q6" s="23">
        <v>0.09</v>
      </c>
      <c r="R6" s="29">
        <f>tblExpenses[[#This Row],[Столбец1]]/tblExpenses[[#Totals],[Столбец1]]</f>
        <v>0</v>
      </c>
      <c r="S6" s="29">
        <f>tblExpenses[[#This Row],[Фев]]/tblExpenses[[#Totals],[Фев]]</f>
        <v>0</v>
      </c>
      <c r="T6" s="29">
        <f>tblExpenses[[#This Row],[Мар]]/tblExpenses[[#Totals],[Мар]]</f>
        <v>0</v>
      </c>
      <c r="U6" s="29">
        <f>tblExpenses[[#This Row],[Апр]]/tblExpenses[[#Totals],[Апр]]</f>
        <v>0</v>
      </c>
      <c r="V6" s="29">
        <f>tblExpenses[[#This Row],[Май]]/tblExpenses[[#Totals],[Май]]</f>
        <v>0</v>
      </c>
      <c r="W6" s="29">
        <f>tblExpenses[[#This Row],[Июн]]/tblExpenses[[#Totals],[Июн]]</f>
        <v>0</v>
      </c>
      <c r="X6" s="29">
        <f>tblExpenses[[#This Row],[Июл]]/tblExpenses[[#Totals],[Июл]]</f>
        <v>0</v>
      </c>
      <c r="Y6" s="29">
        <f>tblExpenses[[#This Row],[Авг]]/tblExpenses[[#Totals],[Авг]]</f>
        <v>0</v>
      </c>
      <c r="Z6" s="29">
        <f>tblExpenses[[#This Row],[Сен]]/tblExpenses[[#Totals],[Сен]]</f>
        <v>0</v>
      </c>
      <c r="AA6" s="29">
        <f>tblExpenses[[#This Row],[Окт]]/tblExpenses[[#Totals],[Окт]]</f>
        <v>0</v>
      </c>
      <c r="AB6" s="29">
        <f>tblExpenses[[#This Row],[Ноя]]/tblExpenses[[#Totals],[Ноя]]</f>
        <v>0</v>
      </c>
      <c r="AC6" s="29">
        <f>tblExpenses[[#This Row],[Дек]]/tblExpenses[[#Totals],[Дек]]</f>
        <v>0</v>
      </c>
      <c r="AD6" s="29">
        <f>tblExpenses[[#This Row],[За год]]/tblExpenses[[#Totals],[За год]]</f>
        <v>0</v>
      </c>
    </row>
    <row r="7" spans="1:30" ht="30" customHeight="1" x14ac:dyDescent="0.25">
      <c r="B7" s="57" t="s">
        <v>90</v>
      </c>
      <c r="C7" s="27" t="s">
        <v>54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8">
        <f>SUM(tblExpenses[[#This Row],[Столбец1]:[Дек]])</f>
        <v>0</v>
      </c>
      <c r="Q7" s="23">
        <v>0.02</v>
      </c>
      <c r="R7" s="29">
        <f>tblExpenses[[#This Row],[Столбец1]]/tblExpenses[[#Totals],[Столбец1]]</f>
        <v>0</v>
      </c>
      <c r="S7" s="29">
        <f>tblExpenses[[#This Row],[Фев]]/tblExpenses[[#Totals],[Фев]]</f>
        <v>0</v>
      </c>
      <c r="T7" s="29">
        <f>tblExpenses[[#This Row],[Мар]]/tblExpenses[[#Totals],[Мар]]</f>
        <v>0</v>
      </c>
      <c r="U7" s="29">
        <f>tblExpenses[[#This Row],[Апр]]/tblExpenses[[#Totals],[Апр]]</f>
        <v>0</v>
      </c>
      <c r="V7" s="29">
        <f>tblExpenses[[#This Row],[Май]]/tblExpenses[[#Totals],[Май]]</f>
        <v>0</v>
      </c>
      <c r="W7" s="29">
        <f>tblExpenses[[#This Row],[Июн]]/tblExpenses[[#Totals],[Июн]]</f>
        <v>0</v>
      </c>
      <c r="X7" s="29">
        <f>tblExpenses[[#This Row],[Июл]]/tblExpenses[[#Totals],[Июл]]</f>
        <v>0</v>
      </c>
      <c r="Y7" s="29">
        <f>tblExpenses[[#This Row],[Авг]]/tblExpenses[[#Totals],[Авг]]</f>
        <v>0</v>
      </c>
      <c r="Z7" s="29">
        <f>tblExpenses[[#This Row],[Сен]]/tblExpenses[[#Totals],[Сен]]</f>
        <v>0</v>
      </c>
      <c r="AA7" s="29">
        <f>tblExpenses[[#This Row],[Окт]]/tblExpenses[[#Totals],[Окт]]</f>
        <v>0</v>
      </c>
      <c r="AB7" s="29">
        <f>tblExpenses[[#This Row],[Ноя]]/tblExpenses[[#Totals],[Ноя]]</f>
        <v>0</v>
      </c>
      <c r="AC7" s="29">
        <f>tblExpenses[[#This Row],[Дек]]/tblExpenses[[#Totals],[Дек]]</f>
        <v>0</v>
      </c>
      <c r="AD7" s="29">
        <f>tblExpenses[[#This Row],[За год]]/tblExpenses[[#Totals],[За год]]</f>
        <v>0</v>
      </c>
    </row>
    <row r="8" spans="1:30" ht="30" customHeight="1" x14ac:dyDescent="0.25">
      <c r="B8" s="57" t="s">
        <v>90</v>
      </c>
      <c r="C8" s="27"/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8">
        <f>SUM(tblExpenses[[#This Row],[Столбец1]:[Дек]])</f>
        <v>0</v>
      </c>
      <c r="Q8" s="23">
        <v>0.08</v>
      </c>
      <c r="R8" s="29">
        <f>tblExpenses[[#This Row],[Столбец1]]/tblExpenses[[#Totals],[Столбец1]]</f>
        <v>0</v>
      </c>
      <c r="S8" s="29">
        <f>tblExpenses[[#This Row],[Фев]]/tblExpenses[[#Totals],[Фев]]</f>
        <v>0</v>
      </c>
      <c r="T8" s="29">
        <f>tblExpenses[[#This Row],[Мар]]/tblExpenses[[#Totals],[Мар]]</f>
        <v>0</v>
      </c>
      <c r="U8" s="29">
        <f>tblExpenses[[#This Row],[Апр]]/tblExpenses[[#Totals],[Апр]]</f>
        <v>0</v>
      </c>
      <c r="V8" s="29">
        <f>tblExpenses[[#This Row],[Май]]/tblExpenses[[#Totals],[Май]]</f>
        <v>0</v>
      </c>
      <c r="W8" s="29">
        <f>tblExpenses[[#This Row],[Июн]]/tblExpenses[[#Totals],[Июн]]</f>
        <v>0</v>
      </c>
      <c r="X8" s="29">
        <f>tblExpenses[[#This Row],[Июл]]/tblExpenses[[#Totals],[Июл]]</f>
        <v>0</v>
      </c>
      <c r="Y8" s="29">
        <f>tblExpenses[[#This Row],[Авг]]/tblExpenses[[#Totals],[Авг]]</f>
        <v>0</v>
      </c>
      <c r="Z8" s="29">
        <f>tblExpenses[[#This Row],[Сен]]/tblExpenses[[#Totals],[Сен]]</f>
        <v>0</v>
      </c>
      <c r="AA8" s="29">
        <f>tblExpenses[[#This Row],[Окт]]/tblExpenses[[#Totals],[Окт]]</f>
        <v>0</v>
      </c>
      <c r="AB8" s="29">
        <f>tblExpenses[[#This Row],[Ноя]]/tblExpenses[[#Totals],[Ноя]]</f>
        <v>0</v>
      </c>
      <c r="AC8" s="29">
        <f>tblExpenses[[#This Row],[Дек]]/tblExpenses[[#Totals],[Дек]]</f>
        <v>0</v>
      </c>
      <c r="AD8" s="29">
        <f>tblExpenses[[#This Row],[За год]]/tblExpenses[[#Totals],[За год]]</f>
        <v>0</v>
      </c>
    </row>
    <row r="9" spans="1:30" ht="30" customHeight="1" x14ac:dyDescent="0.25">
      <c r="B9" s="57" t="s">
        <v>90</v>
      </c>
      <c r="C9" s="27" t="s">
        <v>54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8">
        <f>SUM(tblExpenses[[#This Row],[Столбец1]:[Дек]])</f>
        <v>0</v>
      </c>
      <c r="Q9" s="23">
        <v>0.03</v>
      </c>
      <c r="R9" s="29">
        <f>tblExpenses[[#This Row],[Столбец1]]/tblExpenses[[#Totals],[Столбец1]]</f>
        <v>0</v>
      </c>
      <c r="S9" s="29">
        <f>tblExpenses[[#This Row],[Фев]]/tblExpenses[[#Totals],[Фев]]</f>
        <v>0</v>
      </c>
      <c r="T9" s="29">
        <f>tblExpenses[[#This Row],[Мар]]/tblExpenses[[#Totals],[Мар]]</f>
        <v>0</v>
      </c>
      <c r="U9" s="29">
        <f>tblExpenses[[#This Row],[Апр]]/tblExpenses[[#Totals],[Апр]]</f>
        <v>0</v>
      </c>
      <c r="V9" s="29">
        <f>tblExpenses[[#This Row],[Май]]/tblExpenses[[#Totals],[Май]]</f>
        <v>0</v>
      </c>
      <c r="W9" s="29">
        <f>tblExpenses[[#This Row],[Июн]]/tblExpenses[[#Totals],[Июн]]</f>
        <v>0</v>
      </c>
      <c r="X9" s="29">
        <f>tblExpenses[[#This Row],[Июл]]/tblExpenses[[#Totals],[Июл]]</f>
        <v>0</v>
      </c>
      <c r="Y9" s="29">
        <f>tblExpenses[[#This Row],[Авг]]/tblExpenses[[#Totals],[Авг]]</f>
        <v>0</v>
      </c>
      <c r="Z9" s="29">
        <f>tblExpenses[[#This Row],[Сен]]/tblExpenses[[#Totals],[Сен]]</f>
        <v>0</v>
      </c>
      <c r="AA9" s="29">
        <f>tblExpenses[[#This Row],[Окт]]/tblExpenses[[#Totals],[Окт]]</f>
        <v>0</v>
      </c>
      <c r="AB9" s="29">
        <f>tblExpenses[[#This Row],[Ноя]]/tblExpenses[[#Totals],[Ноя]]</f>
        <v>0</v>
      </c>
      <c r="AC9" s="29">
        <f>tblExpenses[[#This Row],[Дек]]/tblExpenses[[#Totals],[Дек]]</f>
        <v>0</v>
      </c>
      <c r="AD9" s="29">
        <f>tblExpenses[[#This Row],[За год]]/tblExpenses[[#Totals],[За год]]</f>
        <v>0</v>
      </c>
    </row>
    <row r="10" spans="1:30" ht="30" customHeight="1" x14ac:dyDescent="0.25">
      <c r="B10" s="57" t="s">
        <v>94</v>
      </c>
      <c r="C10" s="27" t="s">
        <v>54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28">
        <f>SUM(tblExpenses[[#This Row],[Столбец1]:[Дек]])</f>
        <v>0</v>
      </c>
      <c r="Q10" s="23">
        <v>0.15</v>
      </c>
      <c r="R10" s="29">
        <f>tblExpenses[[#This Row],[Столбец1]]/tblExpenses[[#Totals],[Столбец1]]</f>
        <v>0</v>
      </c>
      <c r="S10" s="29">
        <f>tblExpenses[[#This Row],[Фев]]/tblExpenses[[#Totals],[Фев]]</f>
        <v>0</v>
      </c>
      <c r="T10" s="29">
        <f>tblExpenses[[#This Row],[Мар]]/tblExpenses[[#Totals],[Мар]]</f>
        <v>0</v>
      </c>
      <c r="U10" s="29">
        <f>tblExpenses[[#This Row],[Апр]]/tblExpenses[[#Totals],[Апр]]</f>
        <v>0</v>
      </c>
      <c r="V10" s="29">
        <f>tblExpenses[[#This Row],[Май]]/tblExpenses[[#Totals],[Май]]</f>
        <v>0</v>
      </c>
      <c r="W10" s="29">
        <f>tblExpenses[[#This Row],[Июн]]/tblExpenses[[#Totals],[Июн]]</f>
        <v>0</v>
      </c>
      <c r="X10" s="29">
        <f>tblExpenses[[#This Row],[Июл]]/tblExpenses[[#Totals],[Июл]]</f>
        <v>0</v>
      </c>
      <c r="Y10" s="29">
        <f>tblExpenses[[#This Row],[Авг]]/tblExpenses[[#Totals],[Авг]]</f>
        <v>0</v>
      </c>
      <c r="Z10" s="29">
        <f>tblExpenses[[#This Row],[Сен]]/tblExpenses[[#Totals],[Сен]]</f>
        <v>0</v>
      </c>
      <c r="AA10" s="29">
        <f>tblExpenses[[#This Row],[Окт]]/tblExpenses[[#Totals],[Окт]]</f>
        <v>0</v>
      </c>
      <c r="AB10" s="29">
        <f>tblExpenses[[#This Row],[Ноя]]/tblExpenses[[#Totals],[Ноя]]</f>
        <v>0</v>
      </c>
      <c r="AC10" s="29">
        <f>tblExpenses[[#This Row],[Дек]]/tblExpenses[[#Totals],[Дек]]</f>
        <v>0</v>
      </c>
      <c r="AD10" s="29">
        <f>tblExpenses[[#This Row],[За год]]/tblExpenses[[#Totals],[За год]]</f>
        <v>0</v>
      </c>
    </row>
    <row r="11" spans="1:30" ht="30" customHeight="1" x14ac:dyDescent="0.25">
      <c r="B11" s="14" t="s">
        <v>46</v>
      </c>
      <c r="C11" s="27"/>
      <c r="D11" s="22">
        <v>10000</v>
      </c>
      <c r="E11" s="22">
        <v>10000</v>
      </c>
      <c r="F11" s="22">
        <v>10000</v>
      </c>
      <c r="G11" s="22">
        <v>10000</v>
      </c>
      <c r="H11" s="22">
        <v>10000</v>
      </c>
      <c r="I11" s="22">
        <v>10000</v>
      </c>
      <c r="J11" s="22">
        <v>10000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8">
        <f>SUM(tblExpenses[[#This Row],[Столбец1]:[Дек]])</f>
        <v>70000</v>
      </c>
      <c r="Q11" s="23">
        <v>0.12</v>
      </c>
      <c r="R11" s="29">
        <f>tblExpenses[[#This Row],[Столбец1]]/tblExpenses[[#Totals],[Столбец1]]</f>
        <v>0.51282051282051277</v>
      </c>
      <c r="S11" s="29">
        <f>tblExpenses[[#This Row],[Фев]]/tblExpenses[[#Totals],[Фев]]</f>
        <v>0.51282051282051277</v>
      </c>
      <c r="T11" s="29">
        <f>tblExpenses[[#This Row],[Мар]]/tblExpenses[[#Totals],[Мар]]</f>
        <v>0.51282051282051277</v>
      </c>
      <c r="U11" s="29">
        <f>tblExpenses[[#This Row],[Апр]]/tblExpenses[[#Totals],[Апр]]</f>
        <v>0.51282051282051277</v>
      </c>
      <c r="V11" s="29">
        <f>tblExpenses[[#This Row],[Май]]/tblExpenses[[#Totals],[Май]]</f>
        <v>0.51282051282051277</v>
      </c>
      <c r="W11" s="29">
        <f>tblExpenses[[#This Row],[Июн]]/tblExpenses[[#Totals],[Июн]]</f>
        <v>0.51282051282051277</v>
      </c>
      <c r="X11" s="29">
        <f>tblExpenses[[#This Row],[Июл]]/tblExpenses[[#Totals],[Июл]]</f>
        <v>0.51282051282051277</v>
      </c>
      <c r="Y11" s="29">
        <f>tblExpenses[[#This Row],[Авг]]/tblExpenses[[#Totals],[Авг]]</f>
        <v>0</v>
      </c>
      <c r="Z11" s="29">
        <f>tblExpenses[[#This Row],[Сен]]/tblExpenses[[#Totals],[Сен]]</f>
        <v>0</v>
      </c>
      <c r="AA11" s="29">
        <f>tblExpenses[[#This Row],[Окт]]/tblExpenses[[#Totals],[Окт]]</f>
        <v>0</v>
      </c>
      <c r="AB11" s="29">
        <f>tblExpenses[[#This Row],[Ноя]]/tblExpenses[[#Totals],[Ноя]]</f>
        <v>0</v>
      </c>
      <c r="AC11" s="29">
        <f>tblExpenses[[#This Row],[Дек]]/tblExpenses[[#Totals],[Дек]]</f>
        <v>0</v>
      </c>
      <c r="AD11" s="29">
        <f>tblExpenses[[#This Row],[За год]]/tblExpenses[[#Totals],[За год]]</f>
        <v>0.38043478260869568</v>
      </c>
    </row>
    <row r="12" spans="1:30" ht="30" customHeight="1" x14ac:dyDescent="0.25">
      <c r="B12" s="14" t="s">
        <v>44</v>
      </c>
      <c r="C12" s="27" t="s">
        <v>54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8">
        <f>SUM(tblExpenses[[#This Row],[Столбец1]:[Дек]])</f>
        <v>0</v>
      </c>
      <c r="Q12" s="23">
        <v>0.09</v>
      </c>
      <c r="R12" s="29">
        <f>tblExpenses[[#This Row],[Столбец1]]/tblExpenses[[#Totals],[Столбец1]]</f>
        <v>0</v>
      </c>
      <c r="S12" s="29">
        <f>tblExpenses[[#This Row],[Фев]]/tblExpenses[[#Totals],[Фев]]</f>
        <v>0</v>
      </c>
      <c r="T12" s="29">
        <f>tblExpenses[[#This Row],[Мар]]/tblExpenses[[#Totals],[Мар]]</f>
        <v>0</v>
      </c>
      <c r="U12" s="29">
        <f>tblExpenses[[#This Row],[Апр]]/tblExpenses[[#Totals],[Апр]]</f>
        <v>0</v>
      </c>
      <c r="V12" s="29">
        <f>tblExpenses[[#This Row],[Май]]/tblExpenses[[#Totals],[Май]]</f>
        <v>0</v>
      </c>
      <c r="W12" s="29">
        <f>tblExpenses[[#This Row],[Июн]]/tblExpenses[[#Totals],[Июн]]</f>
        <v>0</v>
      </c>
      <c r="X12" s="29">
        <f>tblExpenses[[#This Row],[Июл]]/tblExpenses[[#Totals],[Июл]]</f>
        <v>0</v>
      </c>
      <c r="Y12" s="29">
        <f>tblExpenses[[#This Row],[Авг]]/tblExpenses[[#Totals],[Авг]]</f>
        <v>0</v>
      </c>
      <c r="Z12" s="29">
        <f>tblExpenses[[#This Row],[Сен]]/tblExpenses[[#Totals],[Сен]]</f>
        <v>0</v>
      </c>
      <c r="AA12" s="29">
        <f>tblExpenses[[#This Row],[Окт]]/tblExpenses[[#Totals],[Окт]]</f>
        <v>0</v>
      </c>
      <c r="AB12" s="29">
        <f>tblExpenses[[#This Row],[Ноя]]/tblExpenses[[#Totals],[Ноя]]</f>
        <v>0</v>
      </c>
      <c r="AC12" s="29">
        <f>tblExpenses[[#This Row],[Дек]]/tblExpenses[[#Totals],[Дек]]</f>
        <v>0</v>
      </c>
      <c r="AD12" s="29">
        <f>tblExpenses[[#This Row],[За год]]/tblExpenses[[#Totals],[За год]]</f>
        <v>0</v>
      </c>
    </row>
    <row r="13" spans="1:30" ht="30" customHeight="1" x14ac:dyDescent="0.25">
      <c r="B13" s="57" t="s">
        <v>90</v>
      </c>
      <c r="C13" s="27" t="s">
        <v>54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8">
        <f>SUM(tblExpenses[[#This Row],[Столбец1]:[Дек]])</f>
        <v>0</v>
      </c>
      <c r="Q13" s="23">
        <v>0.01</v>
      </c>
      <c r="R13" s="29">
        <f>tblExpenses[[#This Row],[Столбец1]]/tblExpenses[[#Totals],[Столбец1]]</f>
        <v>0</v>
      </c>
      <c r="S13" s="29">
        <f>tblExpenses[[#This Row],[Фев]]/tblExpenses[[#Totals],[Фев]]</f>
        <v>0</v>
      </c>
      <c r="T13" s="29">
        <f>tblExpenses[[#This Row],[Мар]]/tblExpenses[[#Totals],[Мар]]</f>
        <v>0</v>
      </c>
      <c r="U13" s="29">
        <f>tblExpenses[[#This Row],[Апр]]/tblExpenses[[#Totals],[Апр]]</f>
        <v>0</v>
      </c>
      <c r="V13" s="29">
        <f>tblExpenses[[#This Row],[Май]]/tblExpenses[[#Totals],[Май]]</f>
        <v>0</v>
      </c>
      <c r="W13" s="29">
        <f>tblExpenses[[#This Row],[Июн]]/tblExpenses[[#Totals],[Июн]]</f>
        <v>0</v>
      </c>
      <c r="X13" s="29">
        <f>tblExpenses[[#This Row],[Июл]]/tblExpenses[[#Totals],[Июл]]</f>
        <v>0</v>
      </c>
      <c r="Y13" s="29">
        <f>tblExpenses[[#This Row],[Авг]]/tblExpenses[[#Totals],[Авг]]</f>
        <v>0</v>
      </c>
      <c r="Z13" s="29">
        <f>tblExpenses[[#This Row],[Сен]]/tblExpenses[[#Totals],[Сен]]</f>
        <v>0</v>
      </c>
      <c r="AA13" s="29">
        <f>tblExpenses[[#This Row],[Окт]]/tblExpenses[[#Totals],[Окт]]</f>
        <v>0</v>
      </c>
      <c r="AB13" s="29">
        <f>tblExpenses[[#This Row],[Ноя]]/tblExpenses[[#Totals],[Ноя]]</f>
        <v>0</v>
      </c>
      <c r="AC13" s="29">
        <f>tblExpenses[[#This Row],[Дек]]/tblExpenses[[#Totals],[Дек]]</f>
        <v>0</v>
      </c>
      <c r="AD13" s="29">
        <f>tblExpenses[[#This Row],[За год]]/tblExpenses[[#Totals],[За год]]</f>
        <v>0</v>
      </c>
    </row>
    <row r="14" spans="1:30" ht="30" customHeight="1" x14ac:dyDescent="0.25">
      <c r="B14" s="14" t="s">
        <v>48</v>
      </c>
      <c r="C14" s="27" t="s">
        <v>54</v>
      </c>
      <c r="D14" s="35">
        <v>2500</v>
      </c>
      <c r="E14" s="35">
        <v>2500</v>
      </c>
      <c r="F14" s="35">
        <v>2500</v>
      </c>
      <c r="G14" s="35">
        <v>2500</v>
      </c>
      <c r="H14" s="35">
        <v>2500</v>
      </c>
      <c r="I14" s="35">
        <v>2500</v>
      </c>
      <c r="J14" s="35">
        <v>2500</v>
      </c>
      <c r="K14" s="35">
        <v>2500</v>
      </c>
      <c r="L14" s="35">
        <v>2500</v>
      </c>
      <c r="M14" s="35">
        <v>2500</v>
      </c>
      <c r="N14" s="35">
        <v>2500</v>
      </c>
      <c r="O14" s="35">
        <v>2500</v>
      </c>
      <c r="P14" s="28">
        <f>SUM(tblExpenses[[#This Row],[Столбец1]:[Дек]])</f>
        <v>30000</v>
      </c>
      <c r="Q14" s="23">
        <v>0.01</v>
      </c>
      <c r="R14" s="29">
        <f>tblExpenses[[#This Row],[Столбец1]]/tblExpenses[[#Totals],[Столбец1]]</f>
        <v>0.12820512820512819</v>
      </c>
      <c r="S14" s="29">
        <f>tblExpenses[[#This Row],[Фев]]/tblExpenses[[#Totals],[Фев]]</f>
        <v>0.12820512820512819</v>
      </c>
      <c r="T14" s="29">
        <f>tblExpenses[[#This Row],[Мар]]/tblExpenses[[#Totals],[Мар]]</f>
        <v>0.12820512820512819</v>
      </c>
      <c r="U14" s="29">
        <f>tblExpenses[[#This Row],[Апр]]/tblExpenses[[#Totals],[Апр]]</f>
        <v>0.12820512820512819</v>
      </c>
      <c r="V14" s="29">
        <f>tblExpenses[[#This Row],[Май]]/tblExpenses[[#Totals],[Май]]</f>
        <v>0.12820512820512819</v>
      </c>
      <c r="W14" s="29">
        <f>tblExpenses[[#This Row],[Июн]]/tblExpenses[[#Totals],[Июн]]</f>
        <v>0.12820512820512819</v>
      </c>
      <c r="X14" s="29">
        <f>tblExpenses[[#This Row],[Июл]]/tblExpenses[[#Totals],[Июл]]</f>
        <v>0.12820512820512819</v>
      </c>
      <c r="Y14" s="29">
        <f>tblExpenses[[#This Row],[Авг]]/tblExpenses[[#Totals],[Авг]]</f>
        <v>0.26315789473684209</v>
      </c>
      <c r="Z14" s="29">
        <f>tblExpenses[[#This Row],[Сен]]/tblExpenses[[#Totals],[Сен]]</f>
        <v>0.26315789473684209</v>
      </c>
      <c r="AA14" s="29">
        <f>tblExpenses[[#This Row],[Окт]]/tblExpenses[[#Totals],[Окт]]</f>
        <v>0.26315789473684209</v>
      </c>
      <c r="AB14" s="29">
        <f>tblExpenses[[#This Row],[Ноя]]/tblExpenses[[#Totals],[Ноя]]</f>
        <v>0.26315789473684209</v>
      </c>
      <c r="AC14" s="29">
        <f>tblExpenses[[#This Row],[Дек]]/tblExpenses[[#Totals],[Дек]]</f>
        <v>0.26315789473684209</v>
      </c>
      <c r="AD14" s="29">
        <f>tblExpenses[[#This Row],[За год]]/tblExpenses[[#Totals],[За год]]</f>
        <v>0.16304347826086957</v>
      </c>
    </row>
    <row r="15" spans="1:30" ht="30" customHeight="1" x14ac:dyDescent="0.25">
      <c r="B15" s="57" t="s">
        <v>95</v>
      </c>
      <c r="C15" s="27" t="s">
        <v>54</v>
      </c>
      <c r="D15" s="22">
        <v>5000</v>
      </c>
      <c r="E15" s="22">
        <v>5000</v>
      </c>
      <c r="F15" s="22">
        <v>5000</v>
      </c>
      <c r="G15" s="22">
        <v>5000</v>
      </c>
      <c r="H15" s="22">
        <v>5000</v>
      </c>
      <c r="I15" s="22">
        <v>5000</v>
      </c>
      <c r="J15" s="22">
        <v>5000</v>
      </c>
      <c r="K15" s="22">
        <v>5000</v>
      </c>
      <c r="L15" s="22">
        <v>5000</v>
      </c>
      <c r="M15" s="22">
        <v>5000</v>
      </c>
      <c r="N15" s="22">
        <v>5000</v>
      </c>
      <c r="O15" s="22">
        <v>5000</v>
      </c>
      <c r="P15" s="28">
        <f>SUM(tblExpenses[[#This Row],[Столбец1]:[Дек]])</f>
        <v>60000</v>
      </c>
      <c r="Q15" s="23">
        <v>0.01</v>
      </c>
      <c r="R15" s="29">
        <f>tblExpenses[[#This Row],[Столбец1]]/tblExpenses[[#Totals],[Столбец1]]</f>
        <v>0.25641025641025639</v>
      </c>
      <c r="S15" s="29">
        <f>tblExpenses[[#This Row],[Фев]]/tblExpenses[[#Totals],[Фев]]</f>
        <v>0.25641025641025639</v>
      </c>
      <c r="T15" s="29">
        <f>tblExpenses[[#This Row],[Мар]]/tblExpenses[[#Totals],[Мар]]</f>
        <v>0.25641025641025639</v>
      </c>
      <c r="U15" s="29">
        <f>tblExpenses[[#This Row],[Апр]]/tblExpenses[[#Totals],[Апр]]</f>
        <v>0.25641025641025639</v>
      </c>
      <c r="V15" s="29">
        <f>tblExpenses[[#This Row],[Май]]/tblExpenses[[#Totals],[Май]]</f>
        <v>0.25641025641025639</v>
      </c>
      <c r="W15" s="29">
        <f>tblExpenses[[#This Row],[Июн]]/tblExpenses[[#Totals],[Июн]]</f>
        <v>0.25641025641025639</v>
      </c>
      <c r="X15" s="29">
        <f>tblExpenses[[#This Row],[Июл]]/tblExpenses[[#Totals],[Июл]]</f>
        <v>0.25641025641025639</v>
      </c>
      <c r="Y15" s="29">
        <f>tblExpenses[[#This Row],[Авг]]/tblExpenses[[#Totals],[Авг]]</f>
        <v>0.52631578947368418</v>
      </c>
      <c r="Z15" s="29">
        <f>tblExpenses[[#This Row],[Сен]]/tblExpenses[[#Totals],[Сен]]</f>
        <v>0.52631578947368418</v>
      </c>
      <c r="AA15" s="29">
        <f>tblExpenses[[#This Row],[Окт]]/tblExpenses[[#Totals],[Окт]]</f>
        <v>0.52631578947368418</v>
      </c>
      <c r="AB15" s="29">
        <f>tblExpenses[[#This Row],[Ноя]]/tblExpenses[[#Totals],[Ноя]]</f>
        <v>0.52631578947368418</v>
      </c>
      <c r="AC15" s="29">
        <f>tblExpenses[[#This Row],[Дек]]/tblExpenses[[#Totals],[Дек]]</f>
        <v>0.52631578947368418</v>
      </c>
      <c r="AD15" s="29">
        <f>tblExpenses[[#This Row],[За год]]/tblExpenses[[#Totals],[За год]]</f>
        <v>0.32608695652173914</v>
      </c>
    </row>
    <row r="16" spans="1:30" ht="30" customHeight="1" x14ac:dyDescent="0.25">
      <c r="B16" s="57" t="s">
        <v>92</v>
      </c>
      <c r="C16" s="27" t="s">
        <v>54</v>
      </c>
      <c r="D16" s="22">
        <v>2000</v>
      </c>
      <c r="E16" s="22">
        <v>2000</v>
      </c>
      <c r="F16" s="22">
        <v>2000</v>
      </c>
      <c r="G16" s="22">
        <v>2000</v>
      </c>
      <c r="H16" s="22">
        <v>2000</v>
      </c>
      <c r="I16" s="22">
        <v>2000</v>
      </c>
      <c r="J16" s="22">
        <v>2000</v>
      </c>
      <c r="K16" s="22">
        <v>2000</v>
      </c>
      <c r="L16" s="22">
        <v>2000</v>
      </c>
      <c r="M16" s="22">
        <v>2000</v>
      </c>
      <c r="N16" s="22">
        <v>2000</v>
      </c>
      <c r="O16" s="22">
        <v>2000</v>
      </c>
      <c r="P16" s="28">
        <f>SUM(tblExpenses[[#This Row],[Столбец1]:[Дек]])</f>
        <v>24000</v>
      </c>
      <c r="Q16" s="23">
        <v>0.01</v>
      </c>
      <c r="R16" s="29">
        <f>tblExpenses[[#This Row],[Столбец1]]/tblExpenses[[#Totals],[Столбец1]]</f>
        <v>0.10256410256410256</v>
      </c>
      <c r="S16" s="29">
        <f>tblExpenses[[#This Row],[Фев]]/tblExpenses[[#Totals],[Фев]]</f>
        <v>0.10256410256410256</v>
      </c>
      <c r="T16" s="29">
        <f>tblExpenses[[#This Row],[Мар]]/tblExpenses[[#Totals],[Мар]]</f>
        <v>0.10256410256410256</v>
      </c>
      <c r="U16" s="29">
        <f>tblExpenses[[#This Row],[Апр]]/tblExpenses[[#Totals],[Апр]]</f>
        <v>0.10256410256410256</v>
      </c>
      <c r="V16" s="29">
        <f>tblExpenses[[#This Row],[Май]]/tblExpenses[[#Totals],[Май]]</f>
        <v>0.10256410256410256</v>
      </c>
      <c r="W16" s="29">
        <f>tblExpenses[[#This Row],[Июн]]/tblExpenses[[#Totals],[Июн]]</f>
        <v>0.10256410256410256</v>
      </c>
      <c r="X16" s="29">
        <f>tblExpenses[[#This Row],[Июл]]/tblExpenses[[#Totals],[Июл]]</f>
        <v>0.10256410256410256</v>
      </c>
      <c r="Y16" s="29">
        <f>tblExpenses[[#This Row],[Авг]]/tblExpenses[[#Totals],[Авг]]</f>
        <v>0.21052631578947367</v>
      </c>
      <c r="Z16" s="29">
        <f>tblExpenses[[#This Row],[Сен]]/tblExpenses[[#Totals],[Сен]]</f>
        <v>0.21052631578947367</v>
      </c>
      <c r="AA16" s="29">
        <f>tblExpenses[[#This Row],[Окт]]/tblExpenses[[#Totals],[Окт]]</f>
        <v>0.21052631578947367</v>
      </c>
      <c r="AB16" s="29">
        <f>tblExpenses[[#This Row],[Ноя]]/tblExpenses[[#Totals],[Ноя]]</f>
        <v>0.21052631578947367</v>
      </c>
      <c r="AC16" s="29">
        <f>tblExpenses[[#This Row],[Дек]]/tblExpenses[[#Totals],[Дек]]</f>
        <v>0.21052631578947367</v>
      </c>
      <c r="AD16" s="29">
        <f>tblExpenses[[#This Row],[За год]]/tblExpenses[[#Totals],[За год]]</f>
        <v>0.13043478260869565</v>
      </c>
    </row>
    <row r="17" spans="1:30" ht="30" customHeight="1" x14ac:dyDescent="0.25">
      <c r="B17" s="14" t="s">
        <v>47</v>
      </c>
      <c r="C17" s="27" t="s">
        <v>54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8">
        <f>SUM(tblExpenses[[#This Row],[Столбец1]:[Дек]])</f>
        <v>0</v>
      </c>
      <c r="Q17" s="23">
        <v>0.14000000000000001</v>
      </c>
      <c r="R17" s="29">
        <f>tblExpenses[[#This Row],[Столбец1]]/tblExpenses[[#Totals],[Столбец1]]</f>
        <v>0</v>
      </c>
      <c r="S17" s="29">
        <f>tblExpenses[[#This Row],[Фев]]/tblExpenses[[#Totals],[Фев]]</f>
        <v>0</v>
      </c>
      <c r="T17" s="29">
        <f>tblExpenses[[#This Row],[Мар]]/tblExpenses[[#Totals],[Мар]]</f>
        <v>0</v>
      </c>
      <c r="U17" s="29">
        <f>tblExpenses[[#This Row],[Апр]]/tblExpenses[[#Totals],[Апр]]</f>
        <v>0</v>
      </c>
      <c r="V17" s="29">
        <f>tblExpenses[[#This Row],[Май]]/tblExpenses[[#Totals],[Май]]</f>
        <v>0</v>
      </c>
      <c r="W17" s="29">
        <f>tblExpenses[[#This Row],[Июн]]/tblExpenses[[#Totals],[Июн]]</f>
        <v>0</v>
      </c>
      <c r="X17" s="29">
        <f>tblExpenses[[#This Row],[Июл]]/tblExpenses[[#Totals],[Июл]]</f>
        <v>0</v>
      </c>
      <c r="Y17" s="29">
        <f>tblExpenses[[#This Row],[Авг]]/tblExpenses[[#Totals],[Авг]]</f>
        <v>0</v>
      </c>
      <c r="Z17" s="29">
        <f>tblExpenses[[#This Row],[Сен]]/tblExpenses[[#Totals],[Сен]]</f>
        <v>0</v>
      </c>
      <c r="AA17" s="29">
        <f>tblExpenses[[#This Row],[Окт]]/tblExpenses[[#Totals],[Окт]]</f>
        <v>0</v>
      </c>
      <c r="AB17" s="29">
        <f>tblExpenses[[#This Row],[Ноя]]/tblExpenses[[#Totals],[Ноя]]</f>
        <v>0</v>
      </c>
      <c r="AC17" s="29">
        <f>tblExpenses[[#This Row],[Дек]]/tblExpenses[[#Totals],[Дек]]</f>
        <v>0</v>
      </c>
      <c r="AD17" s="29">
        <f>tblExpenses[[#This Row],[За год]]/tblExpenses[[#Totals],[За год]]</f>
        <v>0</v>
      </c>
    </row>
    <row r="18" spans="1:30" ht="30" customHeight="1" x14ac:dyDescent="0.25">
      <c r="B18" s="14" t="s">
        <v>56</v>
      </c>
      <c r="C18" s="27" t="s">
        <v>54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8">
        <f>SUM(tblExpenses[[#This Row],[Столбец1]:[Дек]])</f>
        <v>0</v>
      </c>
      <c r="Q18" s="23">
        <v>0.06</v>
      </c>
      <c r="R18" s="29">
        <f>tblExpenses[[#This Row],[Столбец1]]/tblExpenses[[#Totals],[Столбец1]]</f>
        <v>0</v>
      </c>
      <c r="S18" s="29">
        <f>tblExpenses[[#This Row],[Фев]]/tblExpenses[[#Totals],[Фев]]</f>
        <v>0</v>
      </c>
      <c r="T18" s="29">
        <f>tblExpenses[[#This Row],[Мар]]/tblExpenses[[#Totals],[Мар]]</f>
        <v>0</v>
      </c>
      <c r="U18" s="29">
        <f>tblExpenses[[#This Row],[Апр]]/tblExpenses[[#Totals],[Апр]]</f>
        <v>0</v>
      </c>
      <c r="V18" s="29">
        <f>tblExpenses[[#This Row],[Май]]/tblExpenses[[#Totals],[Май]]</f>
        <v>0</v>
      </c>
      <c r="W18" s="29">
        <f>tblExpenses[[#This Row],[Июн]]/tblExpenses[[#Totals],[Июн]]</f>
        <v>0</v>
      </c>
      <c r="X18" s="29">
        <f>tblExpenses[[#This Row],[Июл]]/tblExpenses[[#Totals],[Июл]]</f>
        <v>0</v>
      </c>
      <c r="Y18" s="29">
        <f>tblExpenses[[#This Row],[Авг]]/tblExpenses[[#Totals],[Авг]]</f>
        <v>0</v>
      </c>
      <c r="Z18" s="29">
        <f>tblExpenses[[#This Row],[Сен]]/tblExpenses[[#Totals],[Сен]]</f>
        <v>0</v>
      </c>
      <c r="AA18" s="29">
        <f>tblExpenses[[#This Row],[Окт]]/tblExpenses[[#Totals],[Окт]]</f>
        <v>0</v>
      </c>
      <c r="AB18" s="29">
        <f>tblExpenses[[#This Row],[Ноя]]/tblExpenses[[#Totals],[Ноя]]</f>
        <v>0</v>
      </c>
      <c r="AC18" s="29">
        <f>tblExpenses[[#This Row],[Дек]]/tblExpenses[[#Totals],[Дек]]</f>
        <v>0</v>
      </c>
      <c r="AD18" s="29">
        <f>tblExpenses[[#This Row],[За год]]/tblExpenses[[#Totals],[За год]]</f>
        <v>0</v>
      </c>
    </row>
    <row r="19" spans="1:30" ht="30" customHeight="1" x14ac:dyDescent="0.25">
      <c r="B19" s="14" t="s">
        <v>51</v>
      </c>
      <c r="C19" s="27" t="s">
        <v>54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8">
        <f>SUM(tblExpenses[[#This Row],[Столбец1]:[Дек]])</f>
        <v>0</v>
      </c>
      <c r="Q19" s="23">
        <v>0.01</v>
      </c>
      <c r="R19" s="29">
        <f>tblExpenses[[#This Row],[Столбец1]]/tblExpenses[[#Totals],[Столбец1]]</f>
        <v>0</v>
      </c>
      <c r="S19" s="29">
        <f>tblExpenses[[#This Row],[Фев]]/tblExpenses[[#Totals],[Фев]]</f>
        <v>0</v>
      </c>
      <c r="T19" s="29">
        <f>tblExpenses[[#This Row],[Мар]]/tblExpenses[[#Totals],[Мар]]</f>
        <v>0</v>
      </c>
      <c r="U19" s="29">
        <f>tblExpenses[[#This Row],[Апр]]/tblExpenses[[#Totals],[Апр]]</f>
        <v>0</v>
      </c>
      <c r="V19" s="29">
        <f>tblExpenses[[#This Row],[Май]]/tblExpenses[[#Totals],[Май]]</f>
        <v>0</v>
      </c>
      <c r="W19" s="29">
        <f>tblExpenses[[#This Row],[Июн]]/tblExpenses[[#Totals],[Июн]]</f>
        <v>0</v>
      </c>
      <c r="X19" s="29">
        <f>tblExpenses[[#This Row],[Июл]]/tblExpenses[[#Totals],[Июл]]</f>
        <v>0</v>
      </c>
      <c r="Y19" s="29">
        <f>tblExpenses[[#This Row],[Авг]]/tblExpenses[[#Totals],[Авг]]</f>
        <v>0</v>
      </c>
      <c r="Z19" s="29">
        <f>tblExpenses[[#This Row],[Сен]]/tblExpenses[[#Totals],[Сен]]</f>
        <v>0</v>
      </c>
      <c r="AA19" s="29">
        <f>tblExpenses[[#This Row],[Окт]]/tblExpenses[[#Totals],[Окт]]</f>
        <v>0</v>
      </c>
      <c r="AB19" s="29">
        <f>tblExpenses[[#This Row],[Ноя]]/tblExpenses[[#Totals],[Ноя]]</f>
        <v>0</v>
      </c>
      <c r="AC19" s="29">
        <f>tblExpenses[[#This Row],[Дек]]/tblExpenses[[#Totals],[Дек]]</f>
        <v>0</v>
      </c>
      <c r="AD19" s="29">
        <f>tblExpenses[[#This Row],[За год]]/tblExpenses[[#Totals],[За год]]</f>
        <v>0</v>
      </c>
    </row>
    <row r="20" spans="1:30" ht="30" customHeight="1" x14ac:dyDescent="0.25">
      <c r="B20" s="14" t="s">
        <v>45</v>
      </c>
      <c r="C20" s="27" t="s">
        <v>54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8">
        <f>SUM(tblExpenses[[#This Row],[Столбец1]:[Дек]])</f>
        <v>0</v>
      </c>
      <c r="Q20" s="23">
        <v>0.01</v>
      </c>
      <c r="R20" s="29">
        <f>tblExpenses[[#This Row],[Столбец1]]/tblExpenses[[#Totals],[Столбец1]]</f>
        <v>0</v>
      </c>
      <c r="S20" s="29">
        <f>tblExpenses[[#This Row],[Фев]]/tblExpenses[[#Totals],[Фев]]</f>
        <v>0</v>
      </c>
      <c r="T20" s="29">
        <f>tblExpenses[[#This Row],[Мар]]/tblExpenses[[#Totals],[Мар]]</f>
        <v>0</v>
      </c>
      <c r="U20" s="29">
        <f>tblExpenses[[#This Row],[Апр]]/tblExpenses[[#Totals],[Апр]]</f>
        <v>0</v>
      </c>
      <c r="V20" s="29">
        <f>tblExpenses[[#This Row],[Май]]/tblExpenses[[#Totals],[Май]]</f>
        <v>0</v>
      </c>
      <c r="W20" s="29">
        <f>tblExpenses[[#This Row],[Июн]]/tblExpenses[[#Totals],[Июн]]</f>
        <v>0</v>
      </c>
      <c r="X20" s="29">
        <f>tblExpenses[[#This Row],[Июл]]/tblExpenses[[#Totals],[Июл]]</f>
        <v>0</v>
      </c>
      <c r="Y20" s="29">
        <f>tblExpenses[[#This Row],[Авг]]/tblExpenses[[#Totals],[Авг]]</f>
        <v>0</v>
      </c>
      <c r="Z20" s="29">
        <f>tblExpenses[[#This Row],[Сен]]/tblExpenses[[#Totals],[Сен]]</f>
        <v>0</v>
      </c>
      <c r="AA20" s="29">
        <f>tblExpenses[[#This Row],[Окт]]/tblExpenses[[#Totals],[Окт]]</f>
        <v>0</v>
      </c>
      <c r="AB20" s="29">
        <f>tblExpenses[[#This Row],[Ноя]]/tblExpenses[[#Totals],[Ноя]]</f>
        <v>0</v>
      </c>
      <c r="AC20" s="29">
        <f>tblExpenses[[#This Row],[Дек]]/tblExpenses[[#Totals],[Дек]]</f>
        <v>0</v>
      </c>
      <c r="AD20" s="29">
        <f>tblExpenses[[#This Row],[За год]]/tblExpenses[[#Totals],[За год]]</f>
        <v>0</v>
      </c>
    </row>
    <row r="21" spans="1:30" ht="30" customHeight="1" x14ac:dyDescent="0.25">
      <c r="B21" s="57" t="s">
        <v>43</v>
      </c>
      <c r="C21" s="27" t="s">
        <v>54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8">
        <f>SUM(tblExpenses[[#This Row],[Столбец1]:[Дек]])</f>
        <v>0</v>
      </c>
      <c r="Q21" s="23">
        <v>0.01</v>
      </c>
      <c r="R21" s="29">
        <f>tblExpenses[[#This Row],[Столбец1]]/tblExpenses[[#Totals],[Столбец1]]</f>
        <v>0</v>
      </c>
      <c r="S21" s="29">
        <f>tblExpenses[[#This Row],[Фев]]/tblExpenses[[#Totals],[Фев]]</f>
        <v>0</v>
      </c>
      <c r="T21" s="29">
        <f>tblExpenses[[#This Row],[Мар]]/tblExpenses[[#Totals],[Мар]]</f>
        <v>0</v>
      </c>
      <c r="U21" s="29">
        <f>tblExpenses[[#This Row],[Апр]]/tblExpenses[[#Totals],[Апр]]</f>
        <v>0</v>
      </c>
      <c r="V21" s="29">
        <f>tblExpenses[[#This Row],[Май]]/tblExpenses[[#Totals],[Май]]</f>
        <v>0</v>
      </c>
      <c r="W21" s="29">
        <f>tblExpenses[[#This Row],[Июн]]/tblExpenses[[#Totals],[Июн]]</f>
        <v>0</v>
      </c>
      <c r="X21" s="29">
        <f>tblExpenses[[#This Row],[Июл]]/tblExpenses[[#Totals],[Июл]]</f>
        <v>0</v>
      </c>
      <c r="Y21" s="29">
        <f>tblExpenses[[#This Row],[Авг]]/tblExpenses[[#Totals],[Авг]]</f>
        <v>0</v>
      </c>
      <c r="Z21" s="29">
        <f>tblExpenses[[#This Row],[Сен]]/tblExpenses[[#Totals],[Сен]]</f>
        <v>0</v>
      </c>
      <c r="AA21" s="29">
        <f>tblExpenses[[#This Row],[Окт]]/tblExpenses[[#Totals],[Окт]]</f>
        <v>0</v>
      </c>
      <c r="AB21" s="29">
        <f>tblExpenses[[#This Row],[Ноя]]/tblExpenses[[#Totals],[Ноя]]</f>
        <v>0</v>
      </c>
      <c r="AC21" s="29">
        <f>tblExpenses[[#This Row],[Дек]]/tblExpenses[[#Totals],[Дек]]</f>
        <v>0</v>
      </c>
      <c r="AD21" s="29">
        <f>tblExpenses[[#This Row],[За год]]/tblExpenses[[#Totals],[За год]]</f>
        <v>0</v>
      </c>
    </row>
    <row r="22" spans="1:30" ht="30" customHeight="1" x14ac:dyDescent="0.25">
      <c r="A22" s="1"/>
      <c r="B22" s="14" t="s">
        <v>50</v>
      </c>
      <c r="C22" s="27" t="s">
        <v>54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8">
        <f>SUM(tblExpenses[[#This Row],[Столбец1]:[Дек]])</f>
        <v>0</v>
      </c>
      <c r="Q22" s="23">
        <v>0.01</v>
      </c>
      <c r="R22" s="29">
        <f>tblExpenses[[#This Row],[Столбец1]]/tblExpenses[[#Totals],[Столбец1]]</f>
        <v>0</v>
      </c>
      <c r="S22" s="29">
        <f>tblExpenses[[#This Row],[Фев]]/tblExpenses[[#Totals],[Фев]]</f>
        <v>0</v>
      </c>
      <c r="T22" s="29">
        <f>tblExpenses[[#This Row],[Мар]]/tblExpenses[[#Totals],[Мар]]</f>
        <v>0</v>
      </c>
      <c r="U22" s="29">
        <f>tblExpenses[[#This Row],[Апр]]/tblExpenses[[#Totals],[Апр]]</f>
        <v>0</v>
      </c>
      <c r="V22" s="29">
        <f>tblExpenses[[#This Row],[Май]]/tblExpenses[[#Totals],[Май]]</f>
        <v>0</v>
      </c>
      <c r="W22" s="29">
        <f>tblExpenses[[#This Row],[Июн]]/tblExpenses[[#Totals],[Июн]]</f>
        <v>0</v>
      </c>
      <c r="X22" s="29">
        <f>tblExpenses[[#This Row],[Июл]]/tblExpenses[[#Totals],[Июл]]</f>
        <v>0</v>
      </c>
      <c r="Y22" s="29">
        <f>tblExpenses[[#This Row],[Авг]]/tblExpenses[[#Totals],[Авг]]</f>
        <v>0</v>
      </c>
      <c r="Z22" s="29">
        <f>tblExpenses[[#This Row],[Сен]]/tblExpenses[[#Totals],[Сен]]</f>
        <v>0</v>
      </c>
      <c r="AA22" s="29">
        <f>tblExpenses[[#This Row],[Окт]]/tblExpenses[[#Totals],[Окт]]</f>
        <v>0</v>
      </c>
      <c r="AB22" s="29">
        <f>tblExpenses[[#This Row],[Ноя]]/tblExpenses[[#Totals],[Ноя]]</f>
        <v>0</v>
      </c>
      <c r="AC22" s="29">
        <f>tblExpenses[[#This Row],[Дек]]/tblExpenses[[#Totals],[Дек]]</f>
        <v>0</v>
      </c>
      <c r="AD22" s="29">
        <f>tblExpenses[[#This Row],[За год]]/tblExpenses[[#Totals],[За год]]</f>
        <v>0</v>
      </c>
    </row>
    <row r="23" spans="1:30" ht="30" customHeight="1" x14ac:dyDescent="0.25">
      <c r="A23" s="2"/>
      <c r="B23" s="14" t="s">
        <v>49</v>
      </c>
      <c r="C23" s="27" t="s">
        <v>54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8">
        <f>SUM(tblExpenses[[#This Row],[Столбец1]:[Дек]])</f>
        <v>0</v>
      </c>
      <c r="Q23" s="23">
        <v>0.02</v>
      </c>
      <c r="R23" s="29">
        <f>tblExpenses[[#This Row],[Столбец1]]/tblExpenses[[#Totals],[Столбец1]]</f>
        <v>0</v>
      </c>
      <c r="S23" s="29">
        <f>tblExpenses[[#This Row],[Фев]]/tblExpenses[[#Totals],[Фев]]</f>
        <v>0</v>
      </c>
      <c r="T23" s="29">
        <f>tblExpenses[[#This Row],[Мар]]/tblExpenses[[#Totals],[Мар]]</f>
        <v>0</v>
      </c>
      <c r="U23" s="29">
        <f>tblExpenses[[#This Row],[Апр]]/tblExpenses[[#Totals],[Апр]]</f>
        <v>0</v>
      </c>
      <c r="V23" s="29">
        <f>tblExpenses[[#This Row],[Май]]/tblExpenses[[#Totals],[Май]]</f>
        <v>0</v>
      </c>
      <c r="W23" s="29">
        <f>tblExpenses[[#This Row],[Июн]]/tblExpenses[[#Totals],[Июн]]</f>
        <v>0</v>
      </c>
      <c r="X23" s="29">
        <f>tblExpenses[[#This Row],[Июл]]/tblExpenses[[#Totals],[Июл]]</f>
        <v>0</v>
      </c>
      <c r="Y23" s="29">
        <f>tblExpenses[[#This Row],[Авг]]/tblExpenses[[#Totals],[Авг]]</f>
        <v>0</v>
      </c>
      <c r="Z23" s="29">
        <f>tblExpenses[[#This Row],[Сен]]/tblExpenses[[#Totals],[Сен]]</f>
        <v>0</v>
      </c>
      <c r="AA23" s="29">
        <f>tblExpenses[[#This Row],[Окт]]/tblExpenses[[#Totals],[Окт]]</f>
        <v>0</v>
      </c>
      <c r="AB23" s="29">
        <f>tblExpenses[[#This Row],[Ноя]]/tblExpenses[[#Totals],[Ноя]]</f>
        <v>0</v>
      </c>
      <c r="AC23" s="29">
        <f>tblExpenses[[#This Row],[Дек]]/tblExpenses[[#Totals],[Дек]]</f>
        <v>0</v>
      </c>
      <c r="AD23" s="29">
        <f>tblExpenses[[#This Row],[За год]]/tblExpenses[[#Totals],[За год]]</f>
        <v>0</v>
      </c>
    </row>
    <row r="24" spans="1:30" s="10" customFormat="1" ht="30" customHeight="1" x14ac:dyDescent="0.25">
      <c r="B24" s="68" t="s">
        <v>52</v>
      </c>
      <c r="C24" s="80" t="s">
        <v>54</v>
      </c>
      <c r="D24" s="70">
        <f>SUBTOTAL(109,tblExpenses[Столбец1])</f>
        <v>19500</v>
      </c>
      <c r="E24" s="70">
        <f>SUBTOTAL(109,tblExpenses[Фев])</f>
        <v>19500</v>
      </c>
      <c r="F24" s="70">
        <f>SUBTOTAL(109,tblExpenses[Мар])</f>
        <v>19500</v>
      </c>
      <c r="G24" s="70">
        <f>SUBTOTAL(109,tblExpenses[Апр])</f>
        <v>19500</v>
      </c>
      <c r="H24" s="70">
        <f>SUBTOTAL(109,tblExpenses[Май])</f>
        <v>19500</v>
      </c>
      <c r="I24" s="70">
        <f>SUBTOTAL(109,tblExpenses[Июн])</f>
        <v>19500</v>
      </c>
      <c r="J24" s="70">
        <f>SUBTOTAL(109,tblExpenses[Июл])</f>
        <v>19500</v>
      </c>
      <c r="K24" s="70">
        <f>SUBTOTAL(109,tblExpenses[Авг])</f>
        <v>9500</v>
      </c>
      <c r="L24" s="70">
        <f>SUBTOTAL(109,tblExpenses[Сен])</f>
        <v>9500</v>
      </c>
      <c r="M24" s="70">
        <f>SUBTOTAL(109,tblExpenses[Окт])</f>
        <v>9500</v>
      </c>
      <c r="N24" s="70">
        <f>SUBTOTAL(109,tblExpenses[Ноя])</f>
        <v>9500</v>
      </c>
      <c r="O24" s="70">
        <f>SUBTOTAL(109,tblExpenses[Дек])</f>
        <v>9500</v>
      </c>
      <c r="P24" s="70">
        <f>SUBTOTAL(109,tblExpenses[За год])</f>
        <v>184000</v>
      </c>
      <c r="Q24" s="71">
        <f>SUBTOTAL(109,tblExpenses[Индекс (%)])</f>
        <v>1</v>
      </c>
      <c r="R24" s="71">
        <f>SUBTOTAL(109,tblExpenses[Янв (%)])</f>
        <v>0.99999999999999989</v>
      </c>
      <c r="S24" s="71">
        <f>SUBTOTAL(109,tblExpenses[Фев (%)])</f>
        <v>0.99999999999999989</v>
      </c>
      <c r="T24" s="71">
        <f>SUBTOTAL(109,tblExpenses[Мар (%)])</f>
        <v>0.99999999999999989</v>
      </c>
      <c r="U24" s="71">
        <f>SUBTOTAL(109,tblExpenses[Апр (%)])</f>
        <v>0.99999999999999989</v>
      </c>
      <c r="V24" s="71">
        <f>SUBTOTAL(109,tblExpenses[Май (%)])</f>
        <v>0.99999999999999989</v>
      </c>
      <c r="W24" s="71">
        <f>SUBTOTAL(109,tblExpenses[Июн (%)])</f>
        <v>0.99999999999999989</v>
      </c>
      <c r="X24" s="71">
        <f>SUBTOTAL(109,tblExpenses[Июл (%)])</f>
        <v>0.99999999999999989</v>
      </c>
      <c r="Y24" s="71">
        <f>SUBTOTAL(109,tblExpenses[Авг (%)])</f>
        <v>1</v>
      </c>
      <c r="Z24" s="71">
        <f>SUBTOTAL(109,tblExpenses[Сен (%)])</f>
        <v>1</v>
      </c>
      <c r="AA24" s="71">
        <f>SUBTOTAL(109,tblExpenses[Окт (%)])</f>
        <v>1</v>
      </c>
      <c r="AB24" s="71">
        <f>SUBTOTAL(109,tblExpenses[Ноя (%)])</f>
        <v>1</v>
      </c>
      <c r="AC24" s="71">
        <f>SUBTOTAL(109,tblExpenses[Дек (%)])</f>
        <v>1</v>
      </c>
      <c r="AD24" s="71">
        <f>SUBTOTAL(109,tblExpenses[Год (%)])</f>
        <v>1</v>
      </c>
    </row>
    <row r="25" spans="1:30" ht="30" customHeight="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30" customHeight="1" x14ac:dyDescent="0.25">
      <c r="B26" s="11" t="s">
        <v>53</v>
      </c>
      <c r="C26" s="11"/>
      <c r="D26" s="12">
        <f>'Себестоимость продаж'!$D$15-tblExpenses[[#Totals],[Столбец1]]</f>
        <v>100087.875</v>
      </c>
      <c r="E26" s="12">
        <f>'Себестоимость продаж'!E15-tblExpenses[[#Totals],[Фев]]</f>
        <v>100887.875</v>
      </c>
      <c r="F26" s="12">
        <f>'Себестоимость продаж'!F15-tblExpenses[[#Totals],[Мар]]</f>
        <v>100887.875</v>
      </c>
      <c r="G26" s="12">
        <f>'Себестоимость продаж'!G15-tblExpenses[[#Totals],[Апр]]</f>
        <v>100887.875</v>
      </c>
      <c r="H26" s="12">
        <f>'Себестоимость продаж'!H15-tblExpenses[[#Totals],[Май]]</f>
        <v>100887.875</v>
      </c>
      <c r="I26" s="12">
        <f>'Себестоимость продаж'!I15-tblExpenses[[#Totals],[Июн]]</f>
        <v>100887.875</v>
      </c>
      <c r="J26" s="12">
        <f>'Себестоимость продаж'!J15-tblExpenses[[#Totals],[Июл]]</f>
        <v>100887.875</v>
      </c>
      <c r="K26" s="12">
        <f>'Себестоимость продаж'!K15-tblExpenses[[#Totals],[Авг]]</f>
        <v>-9500</v>
      </c>
      <c r="L26" s="12">
        <f>'Себестоимость продаж'!L15-tblExpenses[[#Totals],[Сен]]</f>
        <v>-9500</v>
      </c>
      <c r="M26" s="12">
        <f>'Себестоимость продаж'!M15-tblExpenses[[#Totals],[Окт]]</f>
        <v>-9500</v>
      </c>
      <c r="N26" s="12">
        <f>'Себестоимость продаж'!N15-tblExpenses[[#Totals],[Ноя]]</f>
        <v>-9500</v>
      </c>
      <c r="O26" s="12">
        <f>'Себестоимость продаж'!O15-tblExpenses[[#Totals],[Дек]]</f>
        <v>-9500</v>
      </c>
      <c r="P26" s="12">
        <f>'Себестоимость продаж'!P15-tblExpenses[[#Totals],[За год]]</f>
        <v>657915.125</v>
      </c>
      <c r="Q26" s="11"/>
      <c r="R26" s="13">
        <f>D26/$P$26</f>
        <v>0.15212885552676722</v>
      </c>
      <c r="S26" s="13">
        <f t="shared" ref="S26:AD26" si="1">E26/$P$26</f>
        <v>0.15334481784409501</v>
      </c>
      <c r="T26" s="13">
        <f t="shared" si="1"/>
        <v>0.15334481784409501</v>
      </c>
      <c r="U26" s="13">
        <f t="shared" si="1"/>
        <v>0.15334481784409501</v>
      </c>
      <c r="V26" s="13">
        <f t="shared" si="1"/>
        <v>0.15334481784409501</v>
      </c>
      <c r="W26" s="13">
        <f t="shared" si="1"/>
        <v>0.15334481784409501</v>
      </c>
      <c r="X26" s="13">
        <f t="shared" si="1"/>
        <v>0.15334481784409501</v>
      </c>
      <c r="Y26" s="13">
        <f t="shared" si="1"/>
        <v>-1.4439552518267458E-2</v>
      </c>
      <c r="Z26" s="13">
        <f t="shared" si="1"/>
        <v>-1.4439552518267458E-2</v>
      </c>
      <c r="AA26" s="13">
        <f t="shared" si="1"/>
        <v>-1.4439552518267458E-2</v>
      </c>
      <c r="AB26" s="13">
        <f t="shared" si="1"/>
        <v>-1.4439552518267458E-2</v>
      </c>
      <c r="AC26" s="13">
        <f t="shared" si="1"/>
        <v>-1.4439552518267458E-2</v>
      </c>
      <c r="AD26" s="13">
        <f t="shared" si="1"/>
        <v>1</v>
      </c>
    </row>
    <row r="29" spans="1:30" ht="30" customHeight="1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30" ht="30" customHeight="1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30" ht="30" customHeight="1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30" ht="30" customHeight="1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dataValidations count="18">
    <dataValidation allowBlank="1" showInputMessage="1" showErrorMessage="1" prompt="Название организации обновляется автоматически на основе записи с листа &quot;Доходы (продажи)&quot;." sqref="AD1"/>
    <dataValidation allowBlank="1" showInputMessage="1" showErrorMessage="1" prompt="Автоматически обновляемый заголовок с листа &quot;Доходы (продажи)&quot;. Для вычисления общих расходов введите значения в таблицу &quot;Расходы&quot; ниже." sqref="B2"/>
    <dataValidation allowBlank="1" showInputMessage="1" showErrorMessage="1" prompt="Введите в этом столбце процентный индекс." sqref="Q4"/>
    <dataValidation allowBlank="1" showInputMessage="1" showErrorMessage="1" prompt="Чистая прибыль вычисляется автоматически по каждому месяцу и году на основе валовой прибыли и общих расходов." sqref="B26"/>
    <dataValidation allowBlank="1" showInputMessage="1" showErrorMessage="1" prompt="Введите в этом столбце расходы по источникам, указанным в столбце B." sqref="D4:O4"/>
    <dataValidation allowBlank="1" showInputMessage="1" showErrorMessage="1" prompt="Этот столбец содержит диаграмму изменения расходов по времени." sqref="C4"/>
    <dataValidation allowBlank="1" showInputMessage="1" showErrorMessage="1" prompt="Введите расходы в этом столбце." sqref="B4"/>
    <dataValidation allowBlank="1" showInputMessage="1" showErrorMessage="1" prompt="В этом столбце автоматически вычисляется доля расходов из разных источников в общем объеме расходов за год." sqref="AD3"/>
    <dataValidation allowBlank="1" showInputMessage="1" showErrorMessage="1" prompt="В этом столбце автоматически вычисляется доля расходов из разных источников в общем объеме расходов за месяц в этой ячейке." sqref="R3:AC3"/>
    <dataValidation allowBlank="1" showInputMessage="1" showErrorMessage="1" prompt="Автоматически обновляемый месяц" sqref="E3:O3"/>
    <dataValidation allowBlank="1" showInputMessage="1" showErrorMessage="1" prompt="Даты в этой строке обновляются автоматически в зависимости от первого месяца финансового года. Первый месяц можно изменить в ячейке AC2." sqref="D3"/>
    <dataValidation allowBlank="1" showInputMessage="1" showErrorMessage="1" prompt="В этом столбце автоматически вычисляются годовые расходы." sqref="P3"/>
    <dataValidation allowBlank="1" showInputMessage="1" showErrorMessage="1" prompt="Этот столбец содержит процентный индекс." sqref="Q3"/>
    <dataValidation allowBlank="1" showInputMessage="1" showErrorMessage="1" prompt="Эта ячейка обновляется автоматически в соответствии с заголовком прогнозного периода на листе &quot;Доходы (продажи)&quot;." sqref="B1"/>
    <dataValidation allowBlank="1" showInputMessage="1" showErrorMessage="1" prompt="В ячейках справа автоматически обновляются месяц и год. Месяц или год можно изменить в ячейках AC2 и AD2 на листе &quot;Доходы (продажи)&quot;." sqref="AB2"/>
    <dataValidation allowBlank="1" showInputMessage="1" showErrorMessage="1" prompt="Автоматически обновляемый месяц. Можно изменить в ячейке AC2 на листе &quot;Доходы (продажи)&quot;." sqref="AC2"/>
    <dataValidation allowBlank="1" showInputMessage="1" showErrorMessage="1" prompt="Автоматически обновляемый год. Можно изменить в ячейке AD2 на листе &quot;Доходы (продажи)&quot;." sqref="AD2"/>
    <dataValidation allowBlank="1" showInputMessage="1" showErrorMessage="1" prompt="На этом листе вычисляются общие расходы за каждый месяц и год, а также общие годовые расходы по каждой статье. Чистая прибыль вычисляется автоматически на основе валовой прибыли и общих расходов. " sqref="A1:A1048576"/>
  </dataValidations>
  <printOptions horizontalCentered="1"/>
  <pageMargins left="0.25" right="0.25" top="0.75" bottom="0.75" header="0.3" footer="0.3"/>
  <pageSetup paperSize="9" scale="40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3"/>
          <x14:colorLow theme="3"/>
          <x14:sparklines>
            <x14:sparkline>
              <xm:f>Расходы!D24:O24</xm:f>
              <xm:sqref>C24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Расходы!D5:O5</xm:f>
              <xm:sqref>C5</xm:sqref>
            </x14:sparkline>
            <x14:sparkline>
              <xm:f>Расходы!D6:O6</xm:f>
              <xm:sqref>C6</xm:sqref>
            </x14:sparkline>
            <x14:sparkline>
              <xm:f>Расходы!D7:O7</xm:f>
              <xm:sqref>C7</xm:sqref>
            </x14:sparkline>
            <x14:sparkline>
              <xm:f>Расходы!D8:O8</xm:f>
              <xm:sqref>C8</xm:sqref>
            </x14:sparkline>
            <x14:sparkline>
              <xm:f>Расходы!D9:O9</xm:f>
              <xm:sqref>C9</xm:sqref>
            </x14:sparkline>
            <x14:sparkline>
              <xm:f>Расходы!D10:O10</xm:f>
              <xm:sqref>C10</xm:sqref>
            </x14:sparkline>
            <x14:sparkline>
              <xm:f>Расходы!D11:O11</xm:f>
              <xm:sqref>C11</xm:sqref>
            </x14:sparkline>
            <x14:sparkline>
              <xm:f>Расходы!D12:O12</xm:f>
              <xm:sqref>C12</xm:sqref>
            </x14:sparkline>
            <x14:sparkline>
              <xm:f>Расходы!D13:O13</xm:f>
              <xm:sqref>C13</xm:sqref>
            </x14:sparkline>
            <x14:sparkline>
              <xm:f>Расходы!D14:O14</xm:f>
              <xm:sqref>C14</xm:sqref>
            </x14:sparkline>
            <x14:sparkline>
              <xm:f>Расходы!D15:O15</xm:f>
              <xm:sqref>C15</xm:sqref>
            </x14:sparkline>
            <x14:sparkline>
              <xm:f>Расходы!D16:O16</xm:f>
              <xm:sqref>C16</xm:sqref>
            </x14:sparkline>
            <x14:sparkline>
              <xm:f>Расходы!D17:O17</xm:f>
              <xm:sqref>C17</xm:sqref>
            </x14:sparkline>
            <x14:sparkline>
              <xm:f>Расходы!D18:O18</xm:f>
              <xm:sqref>C18</xm:sqref>
            </x14:sparkline>
            <x14:sparkline>
              <xm:f>Расходы!D19:O19</xm:f>
              <xm:sqref>C19</xm:sqref>
            </x14:sparkline>
            <x14:sparkline>
              <xm:f>Расходы!D20:O20</xm:f>
              <xm:sqref>C20</xm:sqref>
            </x14:sparkline>
            <x14:sparkline>
              <xm:f>Расходы!D21:O21</xm:f>
              <xm:sqref>C21</xm:sqref>
            </x14:sparkline>
            <x14:sparkline>
              <xm:f>Расходы!D22:O22</xm:f>
              <xm:sqref>C22</xm:sqref>
            </x14:sparkline>
            <x14:sparkline>
              <xm:f>Расходы!D23:O23</xm:f>
              <xm:sqref>C23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Доходы (продажи)</vt:lpstr>
      <vt:lpstr>ИсхД</vt:lpstr>
      <vt:lpstr>Себестоимость продаж</vt:lpstr>
      <vt:lpstr>Расходы</vt:lpstr>
      <vt:lpstr>FYMonthStart</vt:lpstr>
      <vt:lpstr>FYStartYear</vt:lpstr>
      <vt:lpstr>Projection_Period_Title</vt:lpstr>
      <vt:lpstr>Wksht_Title</vt:lpstr>
      <vt:lpstr>'Доходы (продажи)'!Заголовки_для_печати</vt:lpstr>
      <vt:lpstr>Расходы!Заголовки_для_печати</vt:lpstr>
      <vt:lpstr>'Себестоимость продаж'!Заголовки_для_печати</vt:lpstr>
      <vt:lpstr>Заголовок1</vt:lpstr>
      <vt:lpstr>Заголовок2</vt:lpstr>
      <vt:lpstr>Заголовок3</vt:lpstr>
      <vt:lpstr>Название_организации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</dc:creator>
  <cp:lastModifiedBy>kt</cp:lastModifiedBy>
  <dcterms:created xsi:type="dcterms:W3CDTF">2016-12-06T05:59:57Z</dcterms:created>
  <dcterms:modified xsi:type="dcterms:W3CDTF">2019-02-13T09:34:57Z</dcterms:modified>
</cp:coreProperties>
</file>