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6755" windowHeight="5730"/>
  </bookViews>
  <sheets>
    <sheet name="ГИДРОПОНИКА" sheetId="1" r:id="rId1"/>
  </sheets>
  <calcPr calcId="124519"/>
</workbook>
</file>

<file path=xl/calcChain.xml><?xml version="1.0" encoding="utf-8"?>
<calcChain xmlns="http://schemas.openxmlformats.org/spreadsheetml/2006/main">
  <c r="F16" i="1"/>
  <c r="G13"/>
  <c r="D14"/>
  <c r="G14" s="1"/>
  <c r="R5" l="1"/>
  <c r="S5"/>
  <c r="T5"/>
  <c r="J6"/>
  <c r="L6"/>
  <c r="N6"/>
  <c r="Q6"/>
  <c r="R6"/>
  <c r="S6"/>
  <c r="T6"/>
  <c r="L9"/>
  <c r="G10"/>
  <c r="I13"/>
  <c r="K14"/>
  <c r="L14"/>
  <c r="M14"/>
  <c r="N14"/>
  <c r="O14"/>
  <c r="P14"/>
  <c r="J16"/>
  <c r="K16"/>
  <c r="L16"/>
  <c r="M16"/>
  <c r="N16"/>
  <c r="O16"/>
  <c r="P16"/>
  <c r="F18"/>
  <c r="G18"/>
  <c r="I18"/>
  <c r="J18"/>
  <c r="L18"/>
  <c r="N18"/>
  <c r="D26"/>
  <c r="E26"/>
  <c r="F26"/>
  <c r="G26"/>
  <c r="H26"/>
  <c r="I26"/>
  <c r="J26"/>
  <c r="D30"/>
  <c r="E30"/>
  <c r="F30"/>
  <c r="G30"/>
  <c r="H30"/>
  <c r="I30"/>
  <c r="J30"/>
  <c r="D34"/>
  <c r="E34"/>
  <c r="F34"/>
  <c r="G34"/>
  <c r="H34"/>
  <c r="I34"/>
  <c r="J34"/>
  <c r="D38"/>
  <c r="E38"/>
  <c r="F38"/>
  <c r="G38"/>
  <c r="H38"/>
  <c r="I38"/>
  <c r="J38"/>
  <c r="D42"/>
  <c r="E42"/>
  <c r="F42"/>
  <c r="G42"/>
  <c r="H42"/>
  <c r="I42"/>
  <c r="J42"/>
  <c r="D48"/>
  <c r="E48"/>
  <c r="F48"/>
  <c r="G48"/>
  <c r="H48"/>
  <c r="I48"/>
  <c r="J48"/>
  <c r="D52"/>
  <c r="E52"/>
  <c r="F52"/>
  <c r="G52"/>
  <c r="H52"/>
  <c r="I52"/>
  <c r="J52"/>
  <c r="D56"/>
  <c r="E56"/>
  <c r="F56"/>
  <c r="G56"/>
  <c r="H56"/>
  <c r="I56"/>
  <c r="J56"/>
  <c r="D62"/>
  <c r="E62"/>
  <c r="F62"/>
  <c r="G62"/>
  <c r="H62"/>
  <c r="I62"/>
  <c r="J62"/>
  <c r="D67"/>
  <c r="E67"/>
  <c r="F67"/>
  <c r="G67"/>
  <c r="H67"/>
  <c r="I67"/>
  <c r="J67"/>
  <c r="D72"/>
  <c r="E72"/>
  <c r="F72"/>
  <c r="G72"/>
  <c r="H72"/>
  <c r="I72"/>
  <c r="J72"/>
  <c r="D77"/>
  <c r="E77"/>
  <c r="F77"/>
  <c r="G77"/>
  <c r="H77"/>
  <c r="I77"/>
  <c r="J77"/>
  <c r="D81"/>
  <c r="E81"/>
  <c r="F81"/>
  <c r="G81"/>
  <c r="H81"/>
  <c r="I81"/>
  <c r="J81"/>
  <c r="D86"/>
  <c r="E86"/>
  <c r="F86"/>
  <c r="G86"/>
  <c r="H86"/>
  <c r="I86"/>
  <c r="J86"/>
  <c r="D90"/>
  <c r="E90"/>
  <c r="F90"/>
  <c r="G90"/>
  <c r="H90"/>
  <c r="I90"/>
  <c r="J90"/>
  <c r="D94"/>
  <c r="E94"/>
  <c r="F94"/>
  <c r="G94"/>
  <c r="H94"/>
  <c r="I94"/>
  <c r="J94"/>
  <c r="D98"/>
  <c r="E98"/>
  <c r="F98"/>
  <c r="G98"/>
  <c r="H98"/>
  <c r="I98"/>
  <c r="J98"/>
  <c r="J13" l="1"/>
  <c r="J14" s="1"/>
  <c r="I10"/>
  <c r="I14"/>
  <c r="E16"/>
  <c r="D16"/>
  <c r="H13" s="1"/>
  <c r="F13"/>
  <c r="F10" l="1"/>
  <c r="F14"/>
  <c r="J10"/>
  <c r="H10"/>
  <c r="H9" s="1"/>
  <c r="H16"/>
  <c r="H18" s="1"/>
  <c r="D18"/>
  <c r="E13"/>
  <c r="E18"/>
  <c r="D13"/>
  <c r="D10" s="1"/>
  <c r="E10" l="1"/>
  <c r="E14"/>
  <c r="G9"/>
  <c r="C21"/>
  <c r="E22" l="1"/>
  <c r="E20"/>
  <c r="I22" s="1"/>
  <c r="G20"/>
  <c r="G22" s="1"/>
  <c r="H22" s="1"/>
  <c r="D20"/>
  <c r="J20"/>
  <c r="J22" s="1"/>
  <c r="F20"/>
  <c r="F22" s="1"/>
  <c r="D22" s="1"/>
</calcChain>
</file>

<file path=xl/sharedStrings.xml><?xml version="1.0" encoding="utf-8"?>
<sst xmlns="http://schemas.openxmlformats.org/spreadsheetml/2006/main" count="356" uniqueCount="91">
  <si>
    <t>мг/л</t>
  </si>
  <si>
    <t>мМ</t>
  </si>
  <si>
    <t>Mo</t>
  </si>
  <si>
    <t>Cu</t>
  </si>
  <si>
    <t>B</t>
  </si>
  <si>
    <t>Zn</t>
  </si>
  <si>
    <t>Mn</t>
  </si>
  <si>
    <t>Fe</t>
  </si>
  <si>
    <r>
      <t>H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PO</t>
    </r>
    <r>
      <rPr>
        <vertAlign val="subscript"/>
        <sz val="12"/>
        <color theme="1"/>
        <rFont val="Arial"/>
        <family val="2"/>
        <charset val="204"/>
      </rPr>
      <t>4</t>
    </r>
  </si>
  <si>
    <r>
      <t>SO</t>
    </r>
    <r>
      <rPr>
        <vertAlign val="subscript"/>
        <sz val="12"/>
        <color theme="1"/>
        <rFont val="Arial"/>
        <family val="2"/>
        <charset val="204"/>
      </rPr>
      <t>4</t>
    </r>
  </si>
  <si>
    <r>
      <t>NO</t>
    </r>
    <r>
      <rPr>
        <vertAlign val="subscript"/>
        <sz val="12"/>
        <color theme="1"/>
        <rFont val="Arial"/>
        <family val="2"/>
        <charset val="204"/>
      </rPr>
      <t>3</t>
    </r>
  </si>
  <si>
    <t>Mg</t>
  </si>
  <si>
    <t>Ca</t>
  </si>
  <si>
    <t>K</t>
  </si>
  <si>
    <r>
      <t>NH</t>
    </r>
    <r>
      <rPr>
        <vertAlign val="subscript"/>
        <sz val="12"/>
        <color theme="1"/>
        <rFont val="Arial"/>
        <family val="2"/>
        <charset val="204"/>
      </rPr>
      <t>4</t>
    </r>
  </si>
  <si>
    <t>закладка плод почек</t>
  </si>
  <si>
    <r>
      <t xml:space="preserve">кдубника </t>
    </r>
    <r>
      <rPr>
        <b/>
        <sz val="9"/>
        <color theme="1"/>
        <rFont val="Calibri"/>
        <family val="2"/>
        <charset val="204"/>
        <scheme val="minor"/>
      </rPr>
      <t xml:space="preserve">завязь+генирация </t>
    </r>
  </si>
  <si>
    <t>К В</t>
  </si>
  <si>
    <t>клубника ВЕГА</t>
  </si>
  <si>
    <t>О-вега</t>
  </si>
  <si>
    <t>Генеративный раствор</t>
  </si>
  <si>
    <t>О-рост</t>
  </si>
  <si>
    <t>Стандартный раствор</t>
  </si>
  <si>
    <t>о-старт</t>
  </si>
  <si>
    <t>Стартовый раствор</t>
  </si>
  <si>
    <t>огурец</t>
  </si>
  <si>
    <t>вега рц</t>
  </si>
  <si>
    <t>RZвега</t>
  </si>
  <si>
    <t>рост рц</t>
  </si>
  <si>
    <t>RZрост</t>
  </si>
  <si>
    <t>дo цветен 5-й кисти</t>
  </si>
  <si>
    <t>расада рц</t>
  </si>
  <si>
    <t>RZстарт</t>
  </si>
  <si>
    <t>рассада</t>
  </si>
  <si>
    <t>рик цван</t>
  </si>
  <si>
    <t>вега</t>
  </si>
  <si>
    <t>от цвет 1-й цветка 5-й кисти</t>
  </si>
  <si>
    <t>рост2</t>
  </si>
  <si>
    <t>от цвет 1-й цветок 3-й кисти</t>
  </si>
  <si>
    <t>рост 1</t>
  </si>
  <si>
    <t xml:space="preserve">рост1 </t>
  </si>
  <si>
    <t>рост</t>
  </si>
  <si>
    <t>от 1-го цветка -1й кисти</t>
  </si>
  <si>
    <t xml:space="preserve">старт  </t>
  </si>
  <si>
    <t>старт</t>
  </si>
  <si>
    <t xml:space="preserve"> от пос до цвет 1-й кисти</t>
  </si>
  <si>
    <t>расада</t>
  </si>
  <si>
    <t>ТОМАТ</t>
  </si>
  <si>
    <t>раствор литров</t>
  </si>
  <si>
    <t>H3PO4 85%</t>
  </si>
  <si>
    <t xml:space="preserve">HNO3 56% </t>
  </si>
  <si>
    <t>грамм в растворе</t>
  </si>
  <si>
    <t>гр  хелатов в растворе</t>
  </si>
  <si>
    <t>% водимых хелатов</t>
  </si>
  <si>
    <r>
      <t> КН</t>
    </r>
    <r>
      <rPr>
        <b/>
        <sz val="9"/>
        <color rgb="FF214D1F"/>
        <rFont val="Inherit"/>
      </rPr>
      <t>2</t>
    </r>
    <r>
      <rPr>
        <b/>
        <sz val="9"/>
        <color rgb="FF214D1F"/>
        <rFont val="Tahoma"/>
        <family val="2"/>
        <charset val="204"/>
      </rPr>
      <t>РО</t>
    </r>
    <r>
      <rPr>
        <b/>
        <sz val="9"/>
        <color rgb="FF214D1F"/>
        <rFont val="Inherit"/>
      </rPr>
      <t>4</t>
    </r>
  </si>
  <si>
    <t>K2SO4</t>
  </si>
  <si>
    <t>всего гр/куб</t>
  </si>
  <si>
    <r>
      <t>MgSO</t>
    </r>
    <r>
      <rPr>
        <vertAlign val="subscript"/>
        <sz val="9"/>
        <color theme="1"/>
        <rFont val="Times New Roman"/>
        <family val="1"/>
        <charset val="204"/>
      </rPr>
      <t>4</t>
    </r>
  </si>
  <si>
    <t>Ca(NO3)2</t>
  </si>
  <si>
    <r>
      <t>KNO</t>
    </r>
    <r>
      <rPr>
        <vertAlign val="subscript"/>
        <sz val="9"/>
        <color theme="1"/>
        <rFont val="Times New Roman"/>
        <family val="1"/>
        <charset val="204"/>
      </rPr>
      <t>3</t>
    </r>
  </si>
  <si>
    <r>
      <t>NH</t>
    </r>
    <r>
      <rPr>
        <vertAlign val="subscript"/>
        <sz val="9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NO</t>
    </r>
    <r>
      <rPr>
        <vertAlign val="subscript"/>
        <sz val="9"/>
        <rFont val="Times New Roman"/>
        <family val="1"/>
        <charset val="204"/>
      </rPr>
      <t>3</t>
    </r>
  </si>
  <si>
    <t>удобрения грамм/куб</t>
  </si>
  <si>
    <t>грамм сульфатов в растворе</t>
  </si>
  <si>
    <t xml:space="preserve">сульфаты </t>
  </si>
  <si>
    <t>РЕЗУЛЬТАТ раствор</t>
  </si>
  <si>
    <t>40-150</t>
  </si>
  <si>
    <r>
      <t xml:space="preserve">при одинаковом к-ве к-ты Р/Н будет отличатся в разных местах </t>
    </r>
    <r>
      <rPr>
        <sz val="14"/>
        <color rgb="FFFF0000"/>
        <rFont val="Calibri"/>
        <family val="2"/>
        <charset val="204"/>
        <scheme val="minor"/>
      </rPr>
      <t>дано примерное</t>
    </r>
  </si>
  <si>
    <t>миллилитры</t>
  </si>
  <si>
    <t>ввод</t>
  </si>
  <si>
    <t>HNO3</t>
  </si>
  <si>
    <t>H3PO4</t>
  </si>
  <si>
    <t>сера</t>
  </si>
  <si>
    <t>магний</t>
  </si>
  <si>
    <t>кальций</t>
  </si>
  <si>
    <t xml:space="preserve">калий </t>
  </si>
  <si>
    <t>фосфор</t>
  </si>
  <si>
    <t>азот(общ)</t>
  </si>
  <si>
    <t>HCO3</t>
  </si>
  <si>
    <t>соотношение кислоты гр</t>
  </si>
  <si>
    <t>итог Р/Н</t>
  </si>
  <si>
    <t>кислот гр/куб</t>
  </si>
  <si>
    <t>АНАЛИЗ ВОДЫ мг/литр</t>
  </si>
  <si>
    <t>ГИДРОПОНИКА</t>
  </si>
  <si>
    <t>нада ЕС</t>
  </si>
  <si>
    <t>имеем ЕС</t>
  </si>
  <si>
    <t>баланс</t>
  </si>
  <si>
    <t>азот общ</t>
  </si>
  <si>
    <t>SO4</t>
  </si>
  <si>
    <t xml:space="preserve">итог </t>
  </si>
  <si>
    <r>
      <t>Соотношение MЭ сохранено.Если какое-то из удобрений уходит в минус значит вы не можите при этой воде полуить желаемый ЕС буз нарушения баланса.</t>
    </r>
    <r>
      <rPr>
        <sz val="11"/>
        <color rgb="FFFF0000"/>
        <rFont val="Calibri"/>
        <family val="2"/>
        <charset val="204"/>
        <scheme val="minor"/>
      </rPr>
      <t>ЕСЛИ SO4 больше 150  она будет вступать в реакцию с кальц силитрой образуя гипс-не допускать этого</t>
    </r>
  </si>
  <si>
    <t>гр/куб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</si>
</sst>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.000"/>
  </numFmts>
  <fonts count="5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vertAlign val="subscript"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i/>
      <sz val="11"/>
      <color rgb="FF214D1F"/>
      <name val="Tahoma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9"/>
      <color rgb="FF214D1F"/>
      <name val="Tahoma"/>
      <family val="2"/>
      <charset val="204"/>
    </font>
    <font>
      <b/>
      <sz val="9"/>
      <color rgb="FF214D1F"/>
      <name val="Inherit"/>
    </font>
    <font>
      <sz val="9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vertAlign val="subscript"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vertAlign val="subscript"/>
      <sz val="9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00FF"/>
      <name val="Segoe UI"/>
      <family val="2"/>
      <charset val="204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/>
      <right style="medium">
        <color auto="1"/>
      </right>
      <top style="mediumDashDot">
        <color auto="1"/>
      </top>
      <bottom style="mediumDashDot">
        <color auto="1"/>
      </bottom>
      <diagonal/>
    </border>
    <border>
      <left style="medium">
        <color indexed="64"/>
      </left>
      <right style="medium">
        <color indexed="64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/>
      <right style="medium">
        <color auto="1"/>
      </right>
      <top style="mediumDashDotDot">
        <color auto="1"/>
      </top>
      <bottom style="mediumDashDotDot">
        <color auto="1"/>
      </bottom>
      <diagonal/>
    </border>
    <border>
      <left style="medium">
        <color indexed="64"/>
      </left>
      <right style="medium">
        <color indexed="64"/>
      </right>
      <top style="mediumDashDotDot">
        <color auto="1"/>
      </top>
      <bottom style="mediumDashDotDot">
        <color auto="1"/>
      </bottom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auto="1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DashDotDot">
        <color auto="1"/>
      </left>
      <right style="medium">
        <color auto="1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4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0" borderId="0" xfId="0" applyAlignment="1"/>
    <xf numFmtId="0" fontId="9" fillId="2" borderId="3" xfId="0" applyFont="1" applyFill="1" applyBorder="1" applyAlignment="1" applyProtection="1">
      <alignment wrapText="1"/>
      <protection locked="0"/>
    </xf>
    <xf numFmtId="0" fontId="10" fillId="0" borderId="0" xfId="0" applyFont="1" applyBorder="1"/>
    <xf numFmtId="0" fontId="12" fillId="0" borderId="0" xfId="0" applyFont="1" applyBorder="1" applyAlignment="1">
      <alignment wrapText="1"/>
    </xf>
    <xf numFmtId="0" fontId="7" fillId="5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10" fillId="6" borderId="0" xfId="0" applyFont="1" applyFill="1" applyBorder="1"/>
    <xf numFmtId="164" fontId="0" fillId="7" borderId="0" xfId="0" applyNumberFormat="1" applyFill="1"/>
    <xf numFmtId="0" fontId="0" fillId="7" borderId="0" xfId="0" applyFill="1"/>
    <xf numFmtId="0" fontId="13" fillId="7" borderId="5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164" fontId="1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8" borderId="0" xfId="0" applyFill="1"/>
    <xf numFmtId="2" fontId="0" fillId="8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 vertical="center"/>
    </xf>
    <xf numFmtId="10" fontId="0" fillId="7" borderId="0" xfId="0" applyNumberFormat="1" applyFill="1" applyAlignment="1">
      <alignment horizontal="center" vertical="center"/>
    </xf>
    <xf numFmtId="9" fontId="0" fillId="7" borderId="0" xfId="0" applyNumberFormat="1" applyFill="1" applyAlignment="1">
      <alignment horizontal="center" vertical="center"/>
    </xf>
    <xf numFmtId="0" fontId="5" fillId="2" borderId="0" xfId="0" applyFont="1" applyFill="1" applyAlignment="1" applyProtection="1">
      <alignment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>
      <alignment vertical="top" wrapText="1"/>
    </xf>
    <xf numFmtId="0" fontId="18" fillId="2" borderId="0" xfId="0" applyFont="1" applyFill="1" applyAlignment="1" applyProtection="1">
      <alignment wrapText="1"/>
      <protection locked="0"/>
    </xf>
    <xf numFmtId="0" fontId="17" fillId="0" borderId="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Protection="1">
      <protection locked="0"/>
    </xf>
    <xf numFmtId="0" fontId="3" fillId="3" borderId="3" xfId="0" applyFont="1" applyFill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2" fontId="13" fillId="11" borderId="19" xfId="0" applyNumberFormat="1" applyFont="1" applyFill="1" applyBorder="1" applyAlignment="1" applyProtection="1">
      <alignment horizontal="center" vertical="center"/>
      <protection hidden="1"/>
    </xf>
    <xf numFmtId="2" fontId="13" fillId="11" borderId="16" xfId="0" applyNumberFormat="1" applyFont="1" applyFill="1" applyBorder="1" applyAlignment="1" applyProtection="1">
      <alignment horizontal="center" vertical="center"/>
      <protection hidden="1"/>
    </xf>
    <xf numFmtId="2" fontId="13" fillId="11" borderId="17" xfId="0" applyNumberFormat="1" applyFont="1" applyFill="1" applyBorder="1" applyAlignment="1" applyProtection="1">
      <alignment horizontal="center" vertical="center"/>
      <protection hidden="1"/>
    </xf>
    <xf numFmtId="1" fontId="28" fillId="12" borderId="23" xfId="0" applyNumberFormat="1" applyFont="1" applyFill="1" applyBorder="1" applyAlignment="1" applyProtection="1">
      <alignment horizontal="center" vertical="center"/>
      <protection hidden="1"/>
    </xf>
    <xf numFmtId="1" fontId="29" fillId="2" borderId="16" xfId="0" applyNumberFormat="1" applyFont="1" applyFill="1" applyBorder="1" applyAlignment="1" applyProtection="1">
      <alignment horizontal="center" vertical="center"/>
      <protection locked="0"/>
    </xf>
    <xf numFmtId="1" fontId="20" fillId="0" borderId="16" xfId="0" applyNumberFormat="1" applyFont="1" applyBorder="1" applyAlignment="1" applyProtection="1">
      <alignment horizontal="center" vertical="center"/>
      <protection hidden="1"/>
    </xf>
    <xf numFmtId="1" fontId="29" fillId="2" borderId="24" xfId="0" applyNumberFormat="1" applyFont="1" applyFill="1" applyBorder="1" applyAlignment="1" applyProtection="1">
      <alignment horizontal="center" vertical="center"/>
      <protection locked="0"/>
    </xf>
    <xf numFmtId="1" fontId="30" fillId="13" borderId="25" xfId="0" applyNumberFormat="1" applyFont="1" applyFill="1" applyBorder="1" applyAlignment="1" applyProtection="1">
      <alignment horizontal="center" vertical="center"/>
      <protection hidden="1"/>
    </xf>
    <xf numFmtId="1" fontId="29" fillId="14" borderId="5" xfId="0" applyNumberFormat="1" applyFont="1" applyFill="1" applyBorder="1" applyAlignment="1" applyProtection="1">
      <alignment horizontal="center" vertical="center"/>
      <protection hidden="1"/>
    </xf>
    <xf numFmtId="1" fontId="31" fillId="15" borderId="26" xfId="0" applyNumberFormat="1" applyFont="1" applyFill="1" applyBorder="1" applyAlignment="1" applyProtection="1">
      <alignment horizontal="center" vertical="center"/>
      <protection hidden="1"/>
    </xf>
    <xf numFmtId="165" fontId="0" fillId="2" borderId="16" xfId="0" applyNumberFormat="1" applyFill="1" applyBorder="1" applyAlignment="1" applyProtection="1">
      <alignment horizontal="center" vertical="center"/>
      <protection locked="0"/>
    </xf>
    <xf numFmtId="9" fontId="0" fillId="2" borderId="16" xfId="0" applyNumberFormat="1" applyFill="1" applyBorder="1" applyAlignment="1" applyProtection="1">
      <alignment horizontal="center" vertical="center"/>
      <protection locked="0"/>
    </xf>
    <xf numFmtId="9" fontId="0" fillId="2" borderId="17" xfId="0" applyNumberFormat="1" applyFill="1" applyBorder="1" applyAlignment="1" applyProtection="1">
      <alignment horizontal="center" vertical="center"/>
      <protection locked="0"/>
    </xf>
    <xf numFmtId="0" fontId="32" fillId="12" borderId="27" xfId="0" applyFont="1" applyFill="1" applyBorder="1" applyAlignment="1" applyProtection="1">
      <alignment horizontal="center" vertical="center"/>
      <protection hidden="1"/>
    </xf>
    <xf numFmtId="0" fontId="34" fillId="14" borderId="3" xfId="0" applyFont="1" applyFill="1" applyBorder="1" applyAlignment="1" applyProtection="1">
      <alignment horizontal="center" vertical="center"/>
      <protection hidden="1"/>
    </xf>
    <xf numFmtId="0" fontId="34" fillId="16" borderId="6" xfId="0" applyFont="1" applyFill="1" applyBorder="1" applyAlignment="1" applyProtection="1">
      <alignment horizontal="center" vertical="center"/>
      <protection hidden="1"/>
    </xf>
    <xf numFmtId="0" fontId="34" fillId="14" borderId="2" xfId="0" applyFont="1" applyFill="1" applyBorder="1" applyAlignment="1" applyProtection="1">
      <alignment horizontal="center" vertical="center"/>
      <protection hidden="1"/>
    </xf>
    <xf numFmtId="0" fontId="38" fillId="10" borderId="2" xfId="0" applyFont="1" applyFill="1" applyBorder="1" applyAlignment="1" applyProtection="1">
      <alignment horizontal="center" vertical="center"/>
      <protection hidden="1"/>
    </xf>
    <xf numFmtId="166" fontId="0" fillId="17" borderId="19" xfId="0" applyNumberFormat="1" applyFill="1" applyBorder="1" applyAlignment="1" applyProtection="1">
      <alignment horizontal="center" vertical="center"/>
      <protection hidden="1"/>
    </xf>
    <xf numFmtId="2" fontId="0" fillId="17" borderId="16" xfId="0" applyNumberFormat="1" applyFill="1" applyBorder="1" applyAlignment="1" applyProtection="1">
      <alignment horizontal="center" vertical="center"/>
      <protection hidden="1"/>
    </xf>
    <xf numFmtId="2" fontId="0" fillId="17" borderId="17" xfId="0" applyNumberFormat="1" applyFill="1" applyBorder="1" applyAlignment="1" applyProtection="1">
      <alignment horizontal="center" vertical="center"/>
      <protection hidden="1"/>
    </xf>
    <xf numFmtId="10" fontId="41" fillId="18" borderId="28" xfId="0" applyNumberFormat="1" applyFont="1" applyFill="1" applyBorder="1" applyAlignment="1" applyProtection="1">
      <alignment horizontal="center" vertical="center"/>
      <protection hidden="1"/>
    </xf>
    <xf numFmtId="10" fontId="41" fillId="18" borderId="29" xfId="0" applyNumberFormat="1" applyFont="1" applyFill="1" applyBorder="1" applyAlignment="1" applyProtection="1">
      <alignment horizontal="center" vertical="center"/>
      <protection hidden="1"/>
    </xf>
    <xf numFmtId="9" fontId="41" fillId="18" borderId="29" xfId="0" applyNumberFormat="1" applyFont="1" applyFill="1" applyBorder="1" applyAlignment="1" applyProtection="1">
      <alignment horizontal="center" vertical="center"/>
      <protection hidden="1"/>
    </xf>
    <xf numFmtId="9" fontId="41" fillId="18" borderId="30" xfId="0" applyNumberFormat="1" applyFont="1" applyFill="1" applyBorder="1" applyAlignment="1" applyProtection="1">
      <alignment horizontal="center" vertical="center"/>
      <protection hidden="1"/>
    </xf>
    <xf numFmtId="164" fontId="42" fillId="13" borderId="31" xfId="0" applyNumberFormat="1" applyFont="1" applyFill="1" applyBorder="1" applyAlignment="1" applyProtection="1">
      <alignment horizontal="center" vertical="center"/>
      <protection hidden="1"/>
    </xf>
    <xf numFmtId="164" fontId="42" fillId="13" borderId="32" xfId="0" applyNumberFormat="1" applyFont="1" applyFill="1" applyBorder="1" applyAlignment="1" applyProtection="1">
      <alignment horizontal="center" vertical="center"/>
      <protection hidden="1"/>
    </xf>
    <xf numFmtId="164" fontId="42" fillId="13" borderId="33" xfId="0" applyNumberFormat="1" applyFont="1" applyFill="1" applyBorder="1" applyAlignment="1" applyProtection="1">
      <alignment horizontal="center" vertical="center"/>
      <protection hidden="1"/>
    </xf>
    <xf numFmtId="164" fontId="42" fillId="13" borderId="34" xfId="0" applyNumberFormat="1" applyFont="1" applyFill="1" applyBorder="1" applyAlignment="1" applyProtection="1">
      <alignment horizontal="center" vertical="center"/>
      <protection hidden="1"/>
    </xf>
    <xf numFmtId="0" fontId="43" fillId="13" borderId="34" xfId="0" applyFont="1" applyFill="1" applyBorder="1" applyAlignment="1" applyProtection="1">
      <alignment vertical="center" wrapText="1"/>
      <protection hidden="1"/>
    </xf>
    <xf numFmtId="1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19" borderId="22" xfId="0" applyFont="1" applyFill="1" applyBorder="1" applyAlignment="1" applyProtection="1">
      <alignment horizontal="center" vertical="top" wrapText="1"/>
      <protection hidden="1"/>
    </xf>
    <xf numFmtId="0" fontId="3" fillId="19" borderId="3" xfId="0" applyFont="1" applyFill="1" applyBorder="1" applyAlignment="1" applyProtection="1">
      <alignment horizontal="center" vertical="top" wrapText="1"/>
      <protection hidden="1"/>
    </xf>
    <xf numFmtId="0" fontId="3" fillId="20" borderId="39" xfId="0" applyFont="1" applyFill="1" applyBorder="1" applyAlignment="1" applyProtection="1">
      <alignment horizontal="center" vertical="top" wrapText="1"/>
      <protection hidden="1"/>
    </xf>
    <xf numFmtId="0" fontId="3" fillId="20" borderId="40" xfId="0" applyFont="1" applyFill="1" applyBorder="1" applyAlignment="1" applyProtection="1">
      <alignment horizontal="center" vertical="top" wrapText="1"/>
      <protection hidden="1"/>
    </xf>
    <xf numFmtId="0" fontId="3" fillId="20" borderId="41" xfId="0" applyFont="1" applyFill="1" applyBorder="1" applyAlignment="1" applyProtection="1">
      <alignment horizontal="center" vertical="top" wrapText="1"/>
      <protection hidden="1"/>
    </xf>
    <xf numFmtId="0" fontId="3" fillId="21" borderId="0" xfId="0" applyFont="1" applyFill="1" applyBorder="1" applyAlignment="1" applyProtection="1">
      <alignment horizontal="center" vertical="top" wrapText="1"/>
      <protection hidden="1"/>
    </xf>
    <xf numFmtId="0" fontId="3" fillId="21" borderId="3" xfId="0" applyFont="1" applyFill="1" applyBorder="1" applyAlignment="1" applyProtection="1">
      <alignment horizontal="center" vertical="top" wrapText="1"/>
      <protection hidden="1"/>
    </xf>
    <xf numFmtId="0" fontId="19" fillId="8" borderId="11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42" xfId="0" applyFont="1" applyFill="1" applyBorder="1" applyAlignment="1" applyProtection="1">
      <alignment vertical="center"/>
      <protection hidden="1"/>
    </xf>
    <xf numFmtId="0" fontId="16" fillId="19" borderId="43" xfId="0" applyFont="1" applyFill="1" applyBorder="1" applyAlignment="1" applyProtection="1">
      <alignment horizontal="center" vertical="center" wrapText="1"/>
      <protection hidden="1"/>
    </xf>
    <xf numFmtId="0" fontId="16" fillId="19" borderId="29" xfId="0" applyFont="1" applyFill="1" applyBorder="1" applyAlignment="1" applyProtection="1">
      <alignment horizontal="center" vertical="center" wrapText="1"/>
      <protection hidden="1"/>
    </xf>
    <xf numFmtId="0" fontId="16" fillId="19" borderId="16" xfId="0" applyFont="1" applyFill="1" applyBorder="1" applyAlignment="1" applyProtection="1">
      <alignment horizontal="center" vertical="center" wrapText="1"/>
      <protection hidden="1"/>
    </xf>
    <xf numFmtId="2" fontId="16" fillId="22" borderId="16" xfId="0" applyNumberFormat="1" applyFont="1" applyFill="1" applyBorder="1" applyAlignment="1" applyProtection="1">
      <alignment horizontal="center" vertical="center" wrapText="1"/>
      <protection hidden="1"/>
    </xf>
    <xf numFmtId="2" fontId="16" fillId="23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16" xfId="0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Protection="1">
      <protection locked="0" hidden="1"/>
    </xf>
    <xf numFmtId="0" fontId="0" fillId="0" borderId="44" xfId="0" applyFill="1" applyBorder="1" applyProtection="1">
      <protection locked="0" hidden="1"/>
    </xf>
    <xf numFmtId="0" fontId="0" fillId="0" borderId="44" xfId="0" applyFill="1" applyBorder="1"/>
    <xf numFmtId="0" fontId="44" fillId="0" borderId="44" xfId="0" applyFont="1" applyFill="1" applyBorder="1" applyProtection="1">
      <protection locked="0" hidden="1"/>
    </xf>
    <xf numFmtId="0" fontId="45" fillId="0" borderId="0" xfId="0" applyFont="1"/>
    <xf numFmtId="2" fontId="46" fillId="20" borderId="33" xfId="0" applyNumberFormat="1" applyFont="1" applyFill="1" applyBorder="1" applyAlignment="1" applyProtection="1">
      <alignment horizontal="center" vertical="center"/>
      <protection hidden="1"/>
    </xf>
    <xf numFmtId="2" fontId="46" fillId="21" borderId="34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horizontal="center" vertical="center"/>
    </xf>
    <xf numFmtId="0" fontId="0" fillId="24" borderId="0" xfId="0" applyFill="1"/>
    <xf numFmtId="0" fontId="0" fillId="24" borderId="0" xfId="0" applyFill="1" applyProtection="1">
      <protection locked="0"/>
    </xf>
    <xf numFmtId="2" fontId="45" fillId="24" borderId="0" xfId="0" applyNumberFormat="1" applyFont="1" applyFill="1"/>
    <xf numFmtId="0" fontId="47" fillId="0" borderId="45" xfId="0" applyFont="1" applyFill="1" applyBorder="1" applyAlignment="1" applyProtection="1">
      <alignment vertical="center"/>
    </xf>
    <xf numFmtId="2" fontId="47" fillId="0" borderId="0" xfId="0" applyNumberFormat="1" applyFont="1" applyFill="1" applyBorder="1" applyAlignment="1" applyProtection="1">
      <alignment vertical="center"/>
    </xf>
    <xf numFmtId="1" fontId="1" fillId="0" borderId="48" xfId="0" applyNumberFormat="1" applyFont="1" applyBorder="1" applyAlignment="1" applyProtection="1">
      <alignment horizontal="center" vertical="center"/>
      <protection hidden="1"/>
    </xf>
    <xf numFmtId="1" fontId="1" fillId="0" borderId="49" xfId="0" applyNumberFormat="1" applyFont="1" applyBorder="1" applyAlignment="1" applyProtection="1">
      <alignment horizontal="center" vertical="center"/>
      <protection hidden="1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2" fontId="20" fillId="22" borderId="48" xfId="0" applyNumberFormat="1" applyFont="1" applyFill="1" applyBorder="1" applyAlignment="1">
      <alignment horizontal="center" vertical="center"/>
    </xf>
    <xf numFmtId="0" fontId="0" fillId="2" borderId="49" xfId="0" applyFill="1" applyBorder="1" applyAlignment="1" applyProtection="1">
      <alignment horizontal="center" vertical="center"/>
      <protection locked="0"/>
    </xf>
    <xf numFmtId="1" fontId="0" fillId="10" borderId="49" xfId="0" applyNumberFormat="1" applyFill="1" applyBorder="1" applyAlignment="1">
      <alignment horizontal="center" vertical="center"/>
    </xf>
    <xf numFmtId="1" fontId="0" fillId="25" borderId="53" xfId="0" applyNumberForma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1" fillId="2" borderId="53" xfId="0" applyFont="1" applyFill="1" applyBorder="1" applyAlignment="1" applyProtection="1">
      <alignment horizontal="center" vertical="center"/>
      <protection locked="0"/>
    </xf>
    <xf numFmtId="1" fontId="0" fillId="0" borderId="55" xfId="0" applyNumberFormat="1" applyBorder="1" applyAlignment="1" applyProtection="1">
      <alignment horizontal="center" vertical="center"/>
      <protection hidden="1"/>
    </xf>
    <xf numFmtId="1" fontId="0" fillId="0" borderId="56" xfId="0" applyNumberFormat="1" applyBorder="1" applyAlignment="1" applyProtection="1">
      <alignment horizontal="center" vertical="center"/>
      <protection hidden="1"/>
    </xf>
    <xf numFmtId="1" fontId="0" fillId="0" borderId="57" xfId="0" applyNumberFormat="1" applyBorder="1" applyAlignment="1" applyProtection="1">
      <alignment horizontal="center" vertical="center"/>
      <protection hidden="1"/>
    </xf>
    <xf numFmtId="1" fontId="48" fillId="2" borderId="58" xfId="0" applyNumberFormat="1" applyFont="1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25" borderId="6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7" borderId="16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9" fontId="49" fillId="0" borderId="43" xfId="0" applyNumberFormat="1" applyFont="1" applyFill="1" applyBorder="1" applyAlignment="1">
      <alignment horizontal="center" vertical="center"/>
    </xf>
    <xf numFmtId="9" fontId="44" fillId="0" borderId="62" xfId="0" applyNumberFormat="1" applyFont="1" applyBorder="1" applyAlignment="1">
      <alignment horizontal="center" vertical="center"/>
    </xf>
    <xf numFmtId="9" fontId="44" fillId="0" borderId="63" xfId="0" applyNumberFormat="1" applyFont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1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4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/>
    <xf numFmtId="2" fontId="0" fillId="0" borderId="0" xfId="0" applyNumberFormat="1" applyFill="1"/>
    <xf numFmtId="0" fontId="35" fillId="0" borderId="0" xfId="0" applyFont="1" applyFill="1" applyBorder="1" applyAlignment="1">
      <alignment horizontal="center" vertical="center" wrapText="1"/>
    </xf>
    <xf numFmtId="1" fontId="21" fillId="0" borderId="18" xfId="0" applyNumberFormat="1" applyFont="1" applyFill="1" applyBorder="1" applyAlignment="1" applyProtection="1">
      <alignment horizontal="center" vertical="center"/>
    </xf>
    <xf numFmtId="1" fontId="20" fillId="0" borderId="17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5" fillId="18" borderId="16" xfId="0" applyFont="1" applyFill="1" applyBorder="1" applyAlignment="1" applyProtection="1">
      <alignment horizontal="center" vertical="center"/>
      <protection hidden="1"/>
    </xf>
    <xf numFmtId="2" fontId="40" fillId="17" borderId="16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11" borderId="16" xfId="0" applyFont="1" applyFill="1" applyBorder="1" applyAlignment="1">
      <alignment horizontal="center" wrapText="1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0" fillId="22" borderId="68" xfId="0" applyFill="1" applyBorder="1" applyAlignment="1">
      <alignment horizontal="center" vertical="center"/>
    </xf>
    <xf numFmtId="0" fontId="0" fillId="22" borderId="67" xfId="0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top" wrapText="1"/>
    </xf>
    <xf numFmtId="0" fontId="0" fillId="7" borderId="0" xfId="0" applyFill="1" applyAlignment="1">
      <alignment horizontal="center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44" fillId="0" borderId="64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1" fillId="22" borderId="65" xfId="0" applyFont="1" applyFill="1" applyBorder="1" applyAlignment="1">
      <alignment horizontal="center" vertical="center" wrapText="1"/>
    </xf>
    <xf numFmtId="0" fontId="1" fillId="22" borderId="27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1" fillId="22" borderId="47" xfId="0" applyFont="1" applyFill="1" applyBorder="1" applyAlignment="1">
      <alignment horizontal="center" vertical="center"/>
    </xf>
    <xf numFmtId="0" fontId="21" fillId="22" borderId="44" xfId="0" applyFont="1" applyFill="1" applyBorder="1" applyAlignment="1">
      <alignment horizontal="center" vertical="center"/>
    </xf>
    <xf numFmtId="0" fontId="21" fillId="22" borderId="46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37" fillId="13" borderId="25" xfId="0" applyFont="1" applyFill="1" applyBorder="1" applyAlignment="1" applyProtection="1">
      <alignment horizontal="center" vertical="center"/>
      <protection hidden="1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0" fontId="34" fillId="14" borderId="11" xfId="0" applyFont="1" applyFill="1" applyBorder="1" applyAlignment="1" applyProtection="1">
      <alignment horizontal="center" vertical="center"/>
      <protection hidden="1"/>
    </xf>
    <xf numFmtId="0" fontId="37" fillId="13" borderId="72" xfId="0" applyFont="1" applyFill="1" applyBorder="1" applyAlignment="1" applyProtection="1">
      <alignment horizontal="center" vertical="center"/>
      <protection hidden="1"/>
    </xf>
    <xf numFmtId="0" fontId="34" fillId="16" borderId="0" xfId="0" applyFont="1" applyFill="1" applyBorder="1" applyAlignment="1" applyProtection="1">
      <alignment horizontal="center" vertical="center"/>
      <protection hidden="1"/>
    </xf>
    <xf numFmtId="0" fontId="34" fillId="14" borderId="56" xfId="0" applyFont="1" applyFill="1" applyBorder="1" applyAlignment="1" applyProtection="1">
      <alignment horizontal="center" vertical="center"/>
      <protection hidden="1"/>
    </xf>
    <xf numFmtId="0" fontId="32" fillId="25" borderId="56" xfId="0" applyFont="1" applyFill="1" applyBorder="1" applyAlignment="1" applyProtection="1">
      <alignment horizontal="center" vertical="center"/>
      <protection hidden="1"/>
    </xf>
    <xf numFmtId="0" fontId="38" fillId="10" borderId="3" xfId="0" applyFont="1" applyFill="1" applyBorder="1" applyAlignment="1" applyProtection="1">
      <alignment horizontal="center" vertical="center"/>
      <protection hidden="1"/>
    </xf>
    <xf numFmtId="2" fontId="52" fillId="0" borderId="16" xfId="0" applyNumberFormat="1" applyFont="1" applyBorder="1" applyAlignment="1" applyProtection="1">
      <alignment horizontal="center" vertical="center"/>
    </xf>
    <xf numFmtId="0" fontId="0" fillId="0" borderId="16" xfId="0" applyBorder="1" applyProtection="1"/>
    <xf numFmtId="0" fontId="20" fillId="0" borderId="16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/>
    <xf numFmtId="1" fontId="51" fillId="10" borderId="70" xfId="0" applyNumberFormat="1" applyFont="1" applyFill="1" applyBorder="1" applyAlignment="1" applyProtection="1">
      <alignment horizontal="center" vertical="center"/>
    </xf>
    <xf numFmtId="1" fontId="51" fillId="14" borderId="70" xfId="0" applyNumberFormat="1" applyFont="1" applyFill="1" applyBorder="1" applyAlignment="1" applyProtection="1">
      <alignment horizontal="center" vertical="center"/>
    </xf>
    <xf numFmtId="1" fontId="51" fillId="18" borderId="70" xfId="0" applyNumberFormat="1" applyFont="1" applyFill="1" applyBorder="1" applyAlignment="1" applyProtection="1">
      <alignment horizontal="center" vertical="center"/>
    </xf>
    <xf numFmtId="1" fontId="51" fillId="16" borderId="73" xfId="0" applyNumberFormat="1" applyFont="1" applyFill="1" applyBorder="1" applyAlignment="1" applyProtection="1">
      <alignment horizontal="center" vertical="center"/>
    </xf>
    <xf numFmtId="1" fontId="51" fillId="25" borderId="63" xfId="0" applyNumberFormat="1" applyFont="1" applyFill="1" applyBorder="1" applyAlignment="1" applyProtection="1">
      <alignment horizontal="center" vertical="center"/>
    </xf>
    <xf numFmtId="1" fontId="24" fillId="10" borderId="56" xfId="0" applyNumberFormat="1" applyFont="1" applyFill="1" applyBorder="1" applyAlignment="1" applyProtection="1">
      <alignment horizontal="center" vertical="center"/>
      <protection hidden="1"/>
    </xf>
    <xf numFmtId="0" fontId="0" fillId="9" borderId="56" xfId="0" applyFont="1" applyFill="1" applyBorder="1" applyAlignment="1" applyProtection="1">
      <alignment horizontal="center" vertical="center" wrapText="1"/>
      <protection hidden="1"/>
    </xf>
    <xf numFmtId="0" fontId="23" fillId="9" borderId="56" xfId="0" applyFont="1" applyFill="1" applyBorder="1" applyAlignment="1" applyProtection="1">
      <alignment horizontal="center" vertical="center"/>
      <protection hidden="1"/>
    </xf>
    <xf numFmtId="0" fontId="22" fillId="2" borderId="75" xfId="0" applyFont="1" applyFill="1" applyBorder="1" applyAlignment="1" applyProtection="1">
      <alignment horizontal="center" vertical="center"/>
      <protection locked="0"/>
    </xf>
    <xf numFmtId="0" fontId="0" fillId="2" borderId="56" xfId="0" applyFont="1" applyFill="1" applyBorder="1" applyAlignment="1" applyProtection="1">
      <alignment horizontal="center" vertical="center" wrapText="1"/>
      <protection hidden="1"/>
    </xf>
    <xf numFmtId="0" fontId="0" fillId="9" borderId="56" xfId="0" applyFill="1" applyBorder="1" applyAlignment="1" applyProtection="1">
      <alignment horizontal="center" vertical="center" wrapText="1"/>
      <protection hidden="1"/>
    </xf>
    <xf numFmtId="1" fontId="26" fillId="9" borderId="56" xfId="0" applyNumberFormat="1" applyFont="1" applyFill="1" applyBorder="1" applyAlignment="1" applyProtection="1">
      <alignment horizontal="center" vertical="center"/>
      <protection hidden="1"/>
    </xf>
    <xf numFmtId="1" fontId="26" fillId="9" borderId="77" xfId="0" applyNumberFormat="1" applyFont="1" applyFill="1" applyBorder="1" applyAlignment="1" applyProtection="1">
      <alignment horizontal="center" vertical="center"/>
      <protection hidden="1"/>
    </xf>
    <xf numFmtId="164" fontId="26" fillId="9" borderId="57" xfId="0" applyNumberFormat="1" applyFont="1" applyFill="1" applyBorder="1" applyAlignment="1" applyProtection="1">
      <alignment horizontal="center" vertical="center"/>
      <protection hidden="1"/>
    </xf>
    <xf numFmtId="1" fontId="27" fillId="9" borderId="56" xfId="0" applyNumberFormat="1" applyFont="1" applyFill="1" applyBorder="1" applyAlignment="1" applyProtection="1">
      <alignment horizontal="center" vertical="center"/>
      <protection hidden="1"/>
    </xf>
    <xf numFmtId="1" fontId="26" fillId="9" borderId="55" xfId="0" applyNumberFormat="1" applyFont="1" applyFill="1" applyBorder="1" applyAlignment="1" applyProtection="1">
      <alignment horizontal="center" vertical="center"/>
      <protection hidden="1"/>
    </xf>
    <xf numFmtId="0" fontId="25" fillId="10" borderId="56" xfId="0" applyFont="1" applyFill="1" applyBorder="1" applyAlignment="1" applyProtection="1">
      <alignment horizontal="center" vertical="center" wrapText="1"/>
      <protection hidden="1"/>
    </xf>
    <xf numFmtId="0" fontId="50" fillId="0" borderId="78" xfId="0" applyFont="1" applyFill="1" applyBorder="1" applyAlignment="1" applyProtection="1">
      <alignment horizontal="center" vertical="center"/>
    </xf>
    <xf numFmtId="2" fontId="0" fillId="0" borderId="45" xfId="0" applyNumberFormat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50" fillId="0" borderId="6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164" fontId="20" fillId="2" borderId="20" xfId="0" applyNumberFormat="1" applyFont="1" applyFill="1" applyBorder="1" applyAlignment="1" applyProtection="1">
      <alignment horizontal="center" vertical="center"/>
      <protection locked="0"/>
    </xf>
    <xf numFmtId="1" fontId="21" fillId="10" borderId="51" xfId="0" applyNumberFormat="1" applyFont="1" applyFill="1" applyBorder="1" applyAlignment="1" applyProtection="1">
      <alignment horizontal="center" vertical="center"/>
    </xf>
    <xf numFmtId="1" fontId="21" fillId="14" borderId="49" xfId="0" applyNumberFormat="1" applyFont="1" applyFill="1" applyBorder="1" applyAlignment="1" applyProtection="1">
      <alignment horizontal="center" vertical="center"/>
    </xf>
    <xf numFmtId="1" fontId="21" fillId="13" borderId="49" xfId="0" applyNumberFormat="1" applyFont="1" applyFill="1" applyBorder="1" applyAlignment="1" applyProtection="1">
      <alignment horizontal="center" vertical="center"/>
    </xf>
    <xf numFmtId="1" fontId="21" fillId="16" borderId="49" xfId="0" applyNumberFormat="1" applyFont="1" applyFill="1" applyBorder="1" applyAlignment="1" applyProtection="1">
      <alignment horizontal="center" vertical="center"/>
    </xf>
    <xf numFmtId="1" fontId="20" fillId="0" borderId="49" xfId="0" applyNumberFormat="1" applyFont="1" applyBorder="1" applyAlignment="1" applyProtection="1">
      <alignment horizontal="center" vertical="center"/>
    </xf>
    <xf numFmtId="1" fontId="21" fillId="25" borderId="49" xfId="0" applyNumberFormat="1" applyFont="1" applyFill="1" applyBorder="1" applyAlignment="1" applyProtection="1">
      <alignment horizontal="center" vertical="center"/>
    </xf>
    <xf numFmtId="164" fontId="20" fillId="2" borderId="48" xfId="0" applyNumberFormat="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0" fillId="10" borderId="45" xfId="0" applyFill="1" applyBorder="1" applyAlignment="1" applyProtection="1">
      <alignment horizontal="center" vertical="center"/>
    </xf>
    <xf numFmtId="0" fontId="1" fillId="0" borderId="69" xfId="0" applyFont="1" applyBorder="1" applyAlignment="1" applyProtection="1">
      <alignment horizontal="center" vertical="center" wrapText="1"/>
      <protection hidden="1"/>
    </xf>
    <xf numFmtId="0" fontId="1" fillId="10" borderId="70" xfId="0" applyFont="1" applyFill="1" applyBorder="1" applyAlignment="1" applyProtection="1">
      <alignment horizontal="center" vertical="center" wrapText="1"/>
      <protection hidden="1"/>
    </xf>
    <xf numFmtId="2" fontId="1" fillId="0" borderId="70" xfId="0" applyNumberFormat="1" applyFont="1" applyBorder="1" applyAlignment="1" applyProtection="1">
      <alignment horizontal="center" vertical="center" wrapText="1"/>
      <protection hidden="1"/>
    </xf>
    <xf numFmtId="2" fontId="0" fillId="0" borderId="70" xfId="0" applyNumberFormat="1" applyBorder="1" applyAlignment="1" applyProtection="1">
      <alignment horizontal="center" vertical="center" wrapText="1"/>
      <protection hidden="1"/>
    </xf>
    <xf numFmtId="2" fontId="1" fillId="0" borderId="71" xfId="0" applyNumberFormat="1" applyFont="1" applyBorder="1" applyAlignment="1" applyProtection="1">
      <alignment horizontal="center" vertical="center" wrapText="1"/>
      <protection hidden="1"/>
    </xf>
    <xf numFmtId="164" fontId="22" fillId="0" borderId="74" xfId="0" applyNumberFormat="1" applyFont="1" applyFill="1" applyBorder="1" applyAlignment="1" applyProtection="1">
      <alignment vertical="center"/>
    </xf>
    <xf numFmtId="164" fontId="22" fillId="0" borderId="6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41"/>
  <sheetViews>
    <sheetView tabSelected="1" topLeftCell="C3" zoomScale="110" zoomScaleNormal="110" workbookViewId="0">
      <selection activeCell="Q9" sqref="Q9"/>
    </sheetView>
  </sheetViews>
  <sheetFormatPr defaultRowHeight="15"/>
  <cols>
    <col min="1" max="1" width="4.28515625" customWidth="1"/>
    <col min="2" max="2" width="8.7109375" customWidth="1"/>
    <col min="4" max="4" width="11.42578125" bestFit="1" customWidth="1"/>
    <col min="5" max="5" width="11.5703125" bestFit="1" customWidth="1"/>
    <col min="6" max="6" width="10.140625" bestFit="1" customWidth="1"/>
    <col min="7" max="7" width="11.42578125" bestFit="1" customWidth="1"/>
  </cols>
  <sheetData>
    <row r="1" spans="2:31" ht="24.75" customHeight="1">
      <c r="C1" s="163"/>
      <c r="D1" s="166"/>
      <c r="F1" s="165"/>
      <c r="G1" s="165"/>
      <c r="H1" s="157"/>
      <c r="I1" s="164"/>
      <c r="J1" s="165"/>
      <c r="K1" s="164"/>
      <c r="L1" s="165"/>
      <c r="M1" s="164"/>
      <c r="O1" s="16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ht="24" customHeight="1">
      <c r="C2" s="163"/>
      <c r="D2" s="162"/>
      <c r="G2" s="184" t="s">
        <v>82</v>
      </c>
      <c r="H2" s="184"/>
      <c r="I2" s="184"/>
      <c r="J2" s="184"/>
      <c r="K2" s="184"/>
      <c r="L2" s="184"/>
      <c r="M2" s="184"/>
      <c r="O2" s="16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19.5" thickBot="1">
      <c r="C3" s="160"/>
      <c r="D3" s="159"/>
      <c r="F3" s="158"/>
      <c r="G3" s="157"/>
      <c r="I3" s="157"/>
      <c r="K3" s="157"/>
      <c r="L3" s="157"/>
      <c r="M3" s="157"/>
      <c r="O3" s="15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24.75" customHeight="1" thickTop="1" thickBot="1">
      <c r="C4" s="185" t="s">
        <v>81</v>
      </c>
      <c r="D4" s="186"/>
      <c r="E4" s="186"/>
      <c r="F4" s="186"/>
      <c r="G4" s="186"/>
      <c r="H4" s="186"/>
      <c r="I4" s="186"/>
      <c r="J4" s="197" t="s">
        <v>80</v>
      </c>
      <c r="K4" s="198"/>
      <c r="L4" s="198"/>
      <c r="M4" s="199"/>
      <c r="N4" s="195" t="s">
        <v>79</v>
      </c>
      <c r="O4" s="191" t="s">
        <v>78</v>
      </c>
      <c r="P4" s="192"/>
      <c r="Q4" s="155">
        <v>0.56000000000000005</v>
      </c>
      <c r="R4" s="154">
        <v>0.57999999999999996</v>
      </c>
      <c r="S4" s="154">
        <v>0.63</v>
      </c>
      <c r="T4" s="153">
        <v>0.74</v>
      </c>
      <c r="Y4" s="1"/>
      <c r="Z4" s="1"/>
      <c r="AA4" s="1"/>
      <c r="AB4" s="1"/>
      <c r="AC4" s="1"/>
      <c r="AD4" s="1"/>
      <c r="AE4" s="1"/>
    </row>
    <row r="5" spans="2:31" ht="23.25" customHeight="1" thickTop="1" thickBot="1">
      <c r="C5" s="152" t="s">
        <v>77</v>
      </c>
      <c r="D5" s="151" t="s">
        <v>76</v>
      </c>
      <c r="E5" s="150" t="s">
        <v>75</v>
      </c>
      <c r="F5" s="149" t="s">
        <v>74</v>
      </c>
      <c r="G5" s="148" t="s">
        <v>73</v>
      </c>
      <c r="H5" s="147" t="s">
        <v>72</v>
      </c>
      <c r="I5" s="146" t="s">
        <v>71</v>
      </c>
      <c r="J5" s="145" t="s">
        <v>70</v>
      </c>
      <c r="K5" s="144" t="s">
        <v>68</v>
      </c>
      <c r="L5" s="143" t="s">
        <v>69</v>
      </c>
      <c r="M5" s="143" t="s">
        <v>68</v>
      </c>
      <c r="N5" s="196"/>
      <c r="O5" s="193"/>
      <c r="P5" s="194"/>
      <c r="Q5" s="142">
        <v>500</v>
      </c>
      <c r="R5" s="141">
        <f>Q5*0.99198</f>
        <v>495.99</v>
      </c>
      <c r="S5" s="140">
        <f>Q5*0.97323</f>
        <v>486.61500000000001</v>
      </c>
      <c r="T5" s="139">
        <f>Q5*0.94056</f>
        <v>470.28</v>
      </c>
      <c r="Y5" s="1"/>
      <c r="Z5" s="1"/>
      <c r="AA5" s="1"/>
      <c r="AB5" s="1"/>
      <c r="AC5" s="1"/>
      <c r="AD5" s="1"/>
      <c r="AE5" s="1"/>
    </row>
    <row r="6" spans="2:31" ht="18.75" customHeight="1" thickTop="1" thickBot="1">
      <c r="B6" s="122"/>
      <c r="C6" s="138">
        <v>518.5</v>
      </c>
      <c r="D6" s="134">
        <v>38</v>
      </c>
      <c r="E6" s="134"/>
      <c r="F6" s="134"/>
      <c r="G6" s="134">
        <v>183.4</v>
      </c>
      <c r="H6" s="134">
        <v>24.9</v>
      </c>
      <c r="I6" s="137">
        <v>41.5</v>
      </c>
      <c r="J6" s="136">
        <f>(H6-G12)/24.312*1000/14.65*1.7*2</f>
        <v>-335.06396369382327</v>
      </c>
      <c r="K6" s="134"/>
      <c r="L6" s="135">
        <f>(C6/61-K6/1.7/1000*14.65)*1000/11.95*1.345</f>
        <v>956.69456066945622</v>
      </c>
      <c r="M6" s="134">
        <v>800</v>
      </c>
      <c r="N6" s="133">
        <f>(C6/61-K6/1.7/1000*14.65-M6/1.345/1000*11.95)/4+5.5</f>
        <v>5.8480483271375467</v>
      </c>
      <c r="O6" s="132" t="s">
        <v>67</v>
      </c>
      <c r="P6" s="131"/>
      <c r="Q6" s="130">
        <f>Q5/1.345</f>
        <v>371.74721189591077</v>
      </c>
      <c r="R6" s="129">
        <f>R5/1.356</f>
        <v>365.77433628318585</v>
      </c>
      <c r="S6" s="129">
        <f>S5/1.3818</f>
        <v>352.16022579244469</v>
      </c>
      <c r="T6" s="128">
        <f>T5/1.43</f>
        <v>328.86713286713285</v>
      </c>
      <c r="Y6" s="1"/>
      <c r="Z6" s="1"/>
      <c r="AA6" s="1"/>
      <c r="AB6" s="1"/>
      <c r="AC6" s="1"/>
      <c r="AD6" s="1"/>
      <c r="AE6" s="1"/>
    </row>
    <row r="7" spans="2:31" ht="20.25" thickTop="1" thickBot="1">
      <c r="B7" s="122"/>
      <c r="C7" s="200" t="s">
        <v>66</v>
      </c>
      <c r="D7" s="201"/>
      <c r="E7" s="201"/>
      <c r="F7" s="201"/>
      <c r="G7" s="201"/>
      <c r="H7" s="201"/>
      <c r="I7" s="201"/>
      <c r="J7" s="201"/>
      <c r="K7" s="201"/>
      <c r="L7" s="202"/>
      <c r="M7" s="127"/>
      <c r="N7" s="127"/>
      <c r="P7" s="126"/>
      <c r="Q7" s="126"/>
      <c r="R7" s="126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s="123" customFormat="1" ht="9" customHeight="1" thickTop="1">
      <c r="K8" s="125"/>
      <c r="M8" s="124"/>
      <c r="N8" s="124"/>
      <c r="P8" s="124"/>
      <c r="Q8" s="124"/>
      <c r="R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</row>
    <row r="9" spans="2:31" ht="21" thickBot="1">
      <c r="B9" s="122"/>
      <c r="C9" s="60"/>
      <c r="D9" s="60"/>
      <c r="E9" s="60"/>
      <c r="F9" s="60"/>
      <c r="G9" s="121">
        <f>D10+E10+F10*2+G10*2</f>
        <v>23.557417820584014</v>
      </c>
      <c r="H9" s="120">
        <f>H10+I10*2+J10</f>
        <v>24.279853393423164</v>
      </c>
      <c r="I9" s="60"/>
      <c r="J9" s="60"/>
      <c r="K9" s="119"/>
      <c r="L9" s="118">
        <f>(H6-K6/2/1.7/1000*14.65*24.312)</f>
        <v>24.9</v>
      </c>
      <c r="M9" s="117"/>
      <c r="N9" s="117"/>
      <c r="O9" s="116"/>
      <c r="P9" s="116"/>
      <c r="Q9" s="115"/>
      <c r="R9" s="11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2:31" ht="13.5" customHeight="1" thickTop="1">
      <c r="C10" s="113" t="s">
        <v>1</v>
      </c>
      <c r="D10" s="112">
        <f>D13/14</f>
        <v>0.99999999999999989</v>
      </c>
      <c r="E10" s="112">
        <f>E13/39.102</f>
        <v>6.6501303561498259</v>
      </c>
      <c r="F10" s="112">
        <f>F13/40.078</f>
        <v>5.4892958730475572</v>
      </c>
      <c r="G10" s="112">
        <f>G13/24.312</f>
        <v>2.4643478591695382</v>
      </c>
      <c r="H10" s="111">
        <f>H13/14</f>
        <v>15.748929186235843</v>
      </c>
      <c r="I10" s="111">
        <f>I13/32.064</f>
        <v>3.5390464001004078</v>
      </c>
      <c r="J10" s="111">
        <f>J13/30.974</f>
        <v>1.4528314069865047</v>
      </c>
      <c r="K10" s="110">
        <v>15</v>
      </c>
      <c r="L10" s="109">
        <v>10</v>
      </c>
      <c r="M10" s="109">
        <v>5</v>
      </c>
      <c r="N10" s="109">
        <v>30</v>
      </c>
      <c r="O10" s="109">
        <v>0.75</v>
      </c>
      <c r="P10" s="108">
        <v>0.5</v>
      </c>
      <c r="Q10" s="107"/>
      <c r="R10" s="106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1" ht="15.75" customHeight="1" thickBot="1">
      <c r="C11" s="105"/>
      <c r="D11" s="104" t="s">
        <v>14</v>
      </c>
      <c r="E11" s="104" t="s">
        <v>13</v>
      </c>
      <c r="F11" s="104" t="s">
        <v>12</v>
      </c>
      <c r="G11" s="103" t="s">
        <v>11</v>
      </c>
      <c r="H11" s="102" t="s">
        <v>10</v>
      </c>
      <c r="I11" s="101" t="s">
        <v>9</v>
      </c>
      <c r="J11" s="100" t="s">
        <v>8</v>
      </c>
      <c r="K11" s="99" t="s">
        <v>7</v>
      </c>
      <c r="L11" s="99" t="s">
        <v>6</v>
      </c>
      <c r="M11" s="99" t="s">
        <v>5</v>
      </c>
      <c r="N11" s="99" t="s">
        <v>4</v>
      </c>
      <c r="O11" s="99" t="s">
        <v>3</v>
      </c>
      <c r="P11" s="98" t="s">
        <v>2</v>
      </c>
      <c r="Q11" s="97"/>
      <c r="R11" s="9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1" ht="20.25" customHeight="1" thickBot="1">
      <c r="B12" s="95" t="s">
        <v>28</v>
      </c>
      <c r="C12" s="94" t="s">
        <v>0</v>
      </c>
      <c r="D12" s="93">
        <v>14</v>
      </c>
      <c r="E12" s="93">
        <v>260</v>
      </c>
      <c r="F12" s="93">
        <v>220</v>
      </c>
      <c r="G12" s="93">
        <v>60</v>
      </c>
      <c r="H12" s="93">
        <v>220</v>
      </c>
      <c r="I12" s="93" t="s">
        <v>65</v>
      </c>
      <c r="J12" s="92">
        <v>45</v>
      </c>
      <c r="K12" s="93">
        <v>0.84</v>
      </c>
      <c r="L12" s="93">
        <v>0.54</v>
      </c>
      <c r="M12" s="93">
        <v>0.32</v>
      </c>
      <c r="N12" s="93">
        <v>0.32</v>
      </c>
      <c r="O12" s="93">
        <v>4.8000000000000001E-2</v>
      </c>
      <c r="P12" s="92">
        <v>4.8000000000000001E-2</v>
      </c>
      <c r="Q12" s="91"/>
      <c r="R12" s="9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 ht="27.75" customHeight="1" thickBot="1">
      <c r="C13" s="90" t="s">
        <v>64</v>
      </c>
      <c r="D13" s="87">
        <f>F16/236*0.2*14+D16/80*14</f>
        <v>13.999999999999998</v>
      </c>
      <c r="E13" s="87">
        <f>E16/101.1*39.102+I16/174*39.102*2+J16/136*39.102+F6</f>
        <v>260.03339718617048</v>
      </c>
      <c r="F13" s="87">
        <f>F16/236*40.08+(G6-K6/1.7/1000*14.65/2*40.08)</f>
        <v>220</v>
      </c>
      <c r="G13" s="89">
        <f>(H6-K6/2/1.7/1000*14.65*24.312)+G16/246.5*24.312</f>
        <v>59.913225152129819</v>
      </c>
      <c r="H13" s="88">
        <f>D6+(F16/236*2.2*14+D16/80*14+E16/117*14)+M6/1.345/1000*11.95*14</f>
        <v>220.48500860730181</v>
      </c>
      <c r="I13" s="87">
        <f>(G16/246.5+I16/174)*32.064+I6</f>
        <v>113.47598377281948</v>
      </c>
      <c r="J13" s="86">
        <f>J16/136*30.974+E6</f>
        <v>45</v>
      </c>
      <c r="K13" s="85">
        <v>0.22</v>
      </c>
      <c r="L13" s="83">
        <v>0.318</v>
      </c>
      <c r="M13" s="84">
        <v>0.22</v>
      </c>
      <c r="N13" s="83">
        <v>0.17499999999999999</v>
      </c>
      <c r="O13" s="83">
        <v>0.252</v>
      </c>
      <c r="P13" s="82">
        <v>0.53800000000000003</v>
      </c>
      <c r="Q13" s="177" t="s">
        <v>63</v>
      </c>
      <c r="R13" s="17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 ht="24.75" customHeight="1" thickTop="1" thickBot="1">
      <c r="C14" s="264" t="s">
        <v>85</v>
      </c>
      <c r="D14" s="265">
        <f>D12+H12</f>
        <v>234</v>
      </c>
      <c r="E14" s="266">
        <f>E13/D14</f>
        <v>1.1112538341289337</v>
      </c>
      <c r="F14" s="266">
        <f>F13/D14</f>
        <v>0.94017094017094016</v>
      </c>
      <c r="G14" s="266">
        <f>G13/D14</f>
        <v>0.25603942372705052</v>
      </c>
      <c r="H14" s="267"/>
      <c r="I14" s="266">
        <f>I13/D14</f>
        <v>0.48494010159324563</v>
      </c>
      <c r="J14" s="268">
        <f>J13/D14</f>
        <v>0.19230769230769232</v>
      </c>
      <c r="K14" s="81">
        <f>K12/K13/1000*O17</f>
        <v>3.8181818181818179</v>
      </c>
      <c r="L14" s="80">
        <f>L12/L13/1000*O17</f>
        <v>1.6981132075471699</v>
      </c>
      <c r="M14" s="80">
        <f>M12/M13/1000*O17</f>
        <v>1.4545454545454546</v>
      </c>
      <c r="N14" s="80">
        <f>N12/N13/1000*O17</f>
        <v>1.8285714285714287</v>
      </c>
      <c r="O14" s="80">
        <f>O12/O13/1000*O17</f>
        <v>0.19047619047619047</v>
      </c>
      <c r="P14" s="79">
        <f>P12/P13/1000*O17</f>
        <v>8.9219330855018583E-2</v>
      </c>
      <c r="Q14" s="178" t="s">
        <v>62</v>
      </c>
      <c r="R14" s="178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 ht="24.75" customHeight="1" thickTop="1" thickBot="1">
      <c r="C15" s="203" t="s">
        <v>61</v>
      </c>
      <c r="D15" s="78" t="s">
        <v>60</v>
      </c>
      <c r="E15" s="77" t="s">
        <v>59</v>
      </c>
      <c r="F15" s="204" t="s">
        <v>58</v>
      </c>
      <c r="G15" s="76" t="s">
        <v>57</v>
      </c>
      <c r="H15" s="205" t="s">
        <v>56</v>
      </c>
      <c r="I15" s="75" t="s">
        <v>55</v>
      </c>
      <c r="J15" s="74" t="s">
        <v>54</v>
      </c>
      <c r="K15" s="73">
        <v>0.13</v>
      </c>
      <c r="L15" s="72">
        <v>0.13</v>
      </c>
      <c r="M15" s="72">
        <v>0.13</v>
      </c>
      <c r="N15" s="72">
        <v>0.14000000000000001</v>
      </c>
      <c r="O15" s="72">
        <v>0.15</v>
      </c>
      <c r="P15" s="71">
        <v>0.255</v>
      </c>
      <c r="Q15" s="179" t="s">
        <v>53</v>
      </c>
      <c r="R15" s="179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 ht="22.5" customHeight="1" thickBot="1">
      <c r="C16" s="171"/>
      <c r="D16" s="70">
        <f>(D12/14-F16/236*0.2)*80</f>
        <v>65.389221556886227</v>
      </c>
      <c r="E16" s="69">
        <f>(E12/39.102-I16/174*2-J16/136.08-F6/1000/39.102-F6/1000/39.102)*101.1</f>
        <v>362.75726858799794</v>
      </c>
      <c r="F16" s="68">
        <f>(F12-(G6-K6/1.7/1000*14.65/2*40.08))/40.08*236</f>
        <v>215.50898203592811</v>
      </c>
      <c r="G16" s="67">
        <v>355</v>
      </c>
      <c r="H16" s="66">
        <f>SUM(D16:F16)+I16+J16</f>
        <v>981.24054353097688</v>
      </c>
      <c r="I16" s="65">
        <v>140</v>
      </c>
      <c r="J16" s="64">
        <f>(J12-E6/1000)/30.974*136</f>
        <v>197.58507135016464</v>
      </c>
      <c r="K16" s="63">
        <f>K12/K15/1000*O17</f>
        <v>6.4615384615384608</v>
      </c>
      <c r="L16" s="62">
        <f>L12/L15/1000*O17</f>
        <v>4.1538461538461542</v>
      </c>
      <c r="M16" s="62">
        <f>M12/M15/1000*O17</f>
        <v>2.4615384615384617</v>
      </c>
      <c r="N16" s="62">
        <f>N12/N15/1000*O17</f>
        <v>2.2857142857142856</v>
      </c>
      <c r="O16" s="62">
        <f>O12/O15/1000*O17</f>
        <v>0.32</v>
      </c>
      <c r="P16" s="61">
        <f>P12/P15/1000*O17</f>
        <v>0.18823529411764706</v>
      </c>
      <c r="Q16" s="180" t="s">
        <v>52</v>
      </c>
      <c r="R16" s="18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" customHeight="1">
      <c r="C17" s="59"/>
      <c r="D17" s="181"/>
      <c r="E17" s="182"/>
      <c r="F17" s="167"/>
      <c r="G17" s="168"/>
      <c r="H17" s="164"/>
      <c r="I17" s="190"/>
      <c r="J17" s="190"/>
      <c r="M17" s="60"/>
      <c r="N17" s="60"/>
      <c r="O17" s="183">
        <v>1000</v>
      </c>
      <c r="P17" s="60"/>
      <c r="Q17" s="60"/>
      <c r="R17" s="6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30.75" customHeight="1" thickBot="1">
      <c r="C18" s="234" t="s">
        <v>51</v>
      </c>
      <c r="D18" s="235">
        <f>D16/1000*O17</f>
        <v>65.389221556886227</v>
      </c>
      <c r="E18" s="235">
        <f>E16/1000*O17</f>
        <v>362.75726858799794</v>
      </c>
      <c r="F18" s="236">
        <f>F16/1000*O17</f>
        <v>215.50898203592811</v>
      </c>
      <c r="G18" s="237">
        <f>G16/1000*O17</f>
        <v>355</v>
      </c>
      <c r="H18" s="238">
        <f>H16/1000*O17</f>
        <v>981.24054353097688</v>
      </c>
      <c r="I18" s="235">
        <f>I16/1000*O17</f>
        <v>140</v>
      </c>
      <c r="J18" s="239">
        <f>J16/1000*O17</f>
        <v>197.58507135016464</v>
      </c>
      <c r="K18" s="240" t="s">
        <v>50</v>
      </c>
      <c r="L18" s="229">
        <f>L6/1000*O17</f>
        <v>956.69456066945622</v>
      </c>
      <c r="M18" s="230" t="s">
        <v>49</v>
      </c>
      <c r="N18" s="231">
        <f>J6/1000*O17</f>
        <v>-335.06396369382327</v>
      </c>
      <c r="O18" s="232"/>
      <c r="P18" s="233" t="s">
        <v>48</v>
      </c>
      <c r="R18" s="60"/>
      <c r="T18" s="216"/>
      <c r="U18" s="223"/>
      <c r="V18" s="223"/>
      <c r="W18" s="223"/>
      <c r="X18" s="223"/>
      <c r="Y18" s="223"/>
      <c r="Z18" s="223"/>
      <c r="AA18" s="223"/>
      <c r="AB18" s="1"/>
      <c r="AC18" s="1"/>
      <c r="AD18" s="1"/>
      <c r="AE18" s="1"/>
    </row>
    <row r="19" spans="1:31" ht="19.5" customHeight="1" thickTop="1" thickBot="1">
      <c r="C19" s="241" t="s">
        <v>84</v>
      </c>
      <c r="D19" s="263" t="s">
        <v>86</v>
      </c>
      <c r="E19" s="242"/>
      <c r="F19" s="242"/>
      <c r="G19" s="242"/>
      <c r="H19" s="242"/>
      <c r="I19" s="242"/>
      <c r="J19" s="242"/>
      <c r="K19" s="243" t="s">
        <v>83</v>
      </c>
      <c r="L19" s="254" t="s">
        <v>89</v>
      </c>
      <c r="M19" s="255"/>
      <c r="N19" s="255"/>
      <c r="O19" s="255"/>
      <c r="P19" s="255"/>
      <c r="Q19" s="255"/>
      <c r="R19" s="256"/>
      <c r="T19" s="217"/>
      <c r="U19" s="223"/>
      <c r="V19" s="223"/>
      <c r="W19" s="223"/>
      <c r="X19" s="223"/>
      <c r="Y19" s="223"/>
      <c r="Z19" s="223"/>
      <c r="AA19" s="223"/>
      <c r="AC19" s="1"/>
      <c r="AD19" s="1"/>
      <c r="AE19" s="1"/>
    </row>
    <row r="20" spans="1:31" ht="20.25" customHeight="1" thickTop="1" thickBot="1">
      <c r="C20" s="244"/>
      <c r="D20" s="224">
        <f>K21/C21*D14</f>
        <v>413.86734753637541</v>
      </c>
      <c r="E20" s="225">
        <f>K21/C21*E13</f>
        <v>459.91167677056904</v>
      </c>
      <c r="F20" s="226">
        <f>K21/C21*F13</f>
        <v>389.10605323932731</v>
      </c>
      <c r="G20" s="227">
        <f>K21/C21*G13</f>
        <v>105.96635716265649</v>
      </c>
      <c r="H20" s="212" t="s">
        <v>88</v>
      </c>
      <c r="I20" s="213"/>
      <c r="J20" s="228">
        <f>K21/C21*J13</f>
        <v>79.589874526226041</v>
      </c>
      <c r="K20" s="245"/>
      <c r="L20" s="257"/>
      <c r="M20" s="258"/>
      <c r="N20" s="258"/>
      <c r="O20" s="258"/>
      <c r="P20" s="258"/>
      <c r="Q20" s="258"/>
      <c r="R20" s="259"/>
      <c r="T20" s="217"/>
      <c r="U20" s="218"/>
      <c r="V20" s="218"/>
      <c r="W20" s="218"/>
      <c r="X20" s="218"/>
      <c r="Y20" s="219"/>
      <c r="Z20" s="218"/>
      <c r="AA20" s="218"/>
      <c r="AC20" s="1"/>
      <c r="AD20" s="1"/>
      <c r="AE20" s="1"/>
    </row>
    <row r="21" spans="1:31" ht="19.5" thickTop="1">
      <c r="C21" s="270">
        <f>SUM(D13:J13)/500</f>
        <v>1.8658152294368431</v>
      </c>
      <c r="D21" s="211" t="s">
        <v>60</v>
      </c>
      <c r="E21" s="206" t="s">
        <v>59</v>
      </c>
      <c r="F21" s="207" t="s">
        <v>58</v>
      </c>
      <c r="G21" s="208" t="s">
        <v>57</v>
      </c>
      <c r="H21" s="214" t="s">
        <v>87</v>
      </c>
      <c r="I21" s="209" t="s">
        <v>55</v>
      </c>
      <c r="J21" s="210" t="s">
        <v>54</v>
      </c>
      <c r="K21" s="246">
        <v>3.3</v>
      </c>
      <c r="L21" s="257"/>
      <c r="M21" s="258"/>
      <c r="N21" s="258"/>
      <c r="O21" s="258"/>
      <c r="P21" s="258"/>
      <c r="Q21" s="258"/>
      <c r="R21" s="259"/>
      <c r="T21" s="217"/>
      <c r="U21" s="217"/>
      <c r="V21" s="220"/>
      <c r="W21" s="220"/>
      <c r="X21" s="220"/>
      <c r="Y21" s="221"/>
      <c r="Z21" s="217"/>
      <c r="AA21" s="217"/>
      <c r="AB21" s="169"/>
      <c r="AC21" s="1"/>
      <c r="AD21" s="1"/>
      <c r="AE21" s="1"/>
    </row>
    <row r="22" spans="1:31" ht="19.5" thickBot="1">
      <c r="C22" s="269" t="s">
        <v>90</v>
      </c>
      <c r="D22" s="247">
        <f>(K21/C21*D13-F22/236*0.2*14)/14*80</f>
        <v>59.374925342967096</v>
      </c>
      <c r="E22" s="248">
        <f>(K21/C21*H13-M6/1.345/1000*11.95*14-D6)/14*101.1</f>
        <v>1823.0826936275471</v>
      </c>
      <c r="F22" s="249">
        <f>(F20-(G6-K6/1.7/1000*14.65/2*40.08))/40.08*236</f>
        <v>1211.2432276567176</v>
      </c>
      <c r="G22" s="250">
        <f>(G20-(H6-K6/1.7/1000*14.65/2*24.312))/24.312*246.5</f>
        <v>821.93390262400555</v>
      </c>
      <c r="H22" s="251">
        <f>(G22/246.5+I22/174)*32.064</f>
        <v>121.09658706714056</v>
      </c>
      <c r="I22" s="248">
        <f>(E20-E22/101.1*24.312)/24.312/2*174</f>
        <v>76.959758240446348</v>
      </c>
      <c r="J22" s="252">
        <f>J20/30.974*136</f>
        <v>349.46157860033389</v>
      </c>
      <c r="K22" s="253"/>
      <c r="L22" s="260"/>
      <c r="M22" s="261"/>
      <c r="N22" s="261"/>
      <c r="O22" s="261"/>
      <c r="P22" s="261"/>
      <c r="Q22" s="261"/>
      <c r="R22" s="262"/>
      <c r="T22" s="216"/>
      <c r="U22" s="215"/>
      <c r="V22" s="215"/>
      <c r="W22" s="215"/>
      <c r="X22" s="215"/>
      <c r="Y22" s="215"/>
      <c r="Z22" s="215"/>
      <c r="AA22" s="215"/>
      <c r="AB22" s="1"/>
      <c r="AC22" s="1"/>
      <c r="AD22" s="1"/>
      <c r="AE22" s="1"/>
    </row>
    <row r="23" spans="1:31" ht="15.75" thickTop="1">
      <c r="L23" s="1"/>
      <c r="M23" s="1"/>
      <c r="N23" s="1"/>
      <c r="O23" s="1"/>
      <c r="P23" s="1"/>
      <c r="Q23" s="1"/>
      <c r="R23" s="1"/>
      <c r="T23" s="216"/>
      <c r="U23" s="222"/>
      <c r="V23" s="222"/>
      <c r="W23" s="222"/>
      <c r="X23" s="222"/>
      <c r="Y23" s="222"/>
      <c r="Z23" s="222"/>
      <c r="AA23" s="222"/>
      <c r="AB23" s="1"/>
      <c r="AC23" s="1"/>
      <c r="AD23" s="1"/>
      <c r="AE23" s="1"/>
    </row>
    <row r="24" spans="1:31" ht="15.75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0.25" thickBot="1">
      <c r="B25" s="57" t="s">
        <v>47</v>
      </c>
      <c r="C25" s="12" t="s">
        <v>33</v>
      </c>
      <c r="D25" s="9" t="s">
        <v>14</v>
      </c>
      <c r="E25" s="9" t="s">
        <v>13</v>
      </c>
      <c r="F25" s="9" t="s">
        <v>12</v>
      </c>
      <c r="G25" s="9" t="s">
        <v>11</v>
      </c>
      <c r="H25" s="9" t="s">
        <v>10</v>
      </c>
      <c r="I25" s="9" t="s">
        <v>9</v>
      </c>
      <c r="J25" s="9" t="s">
        <v>8</v>
      </c>
      <c r="K25" s="8" t="s">
        <v>7</v>
      </c>
      <c r="L25" s="8" t="s">
        <v>6</v>
      </c>
      <c r="M25" s="8" t="s">
        <v>5</v>
      </c>
      <c r="N25" s="8" t="s">
        <v>4</v>
      </c>
      <c r="O25" s="8" t="s">
        <v>3</v>
      </c>
      <c r="P25" s="8" t="s">
        <v>2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 thickBot="1">
      <c r="C26" s="50" t="s">
        <v>1</v>
      </c>
      <c r="D26" s="58">
        <f>D27/14</f>
        <v>1.25</v>
      </c>
      <c r="E26" s="58">
        <f>E27/39.102</f>
        <v>6.7259986701447501</v>
      </c>
      <c r="F26" s="58">
        <f>F27/40.078</f>
        <v>5.2397824242726676</v>
      </c>
      <c r="G26" s="58">
        <f>G27/24.312</f>
        <v>3.0026324448831851</v>
      </c>
      <c r="H26" s="58">
        <f>H27/14</f>
        <v>16.75</v>
      </c>
      <c r="I26" s="58">
        <f>I27/32.064</f>
        <v>2.4950099800399204</v>
      </c>
      <c r="J26" s="58">
        <f>J27/30.974</f>
        <v>1.2494350100083942</v>
      </c>
      <c r="K26" s="48">
        <v>15</v>
      </c>
      <c r="L26" s="48">
        <v>10</v>
      </c>
      <c r="M26" s="48">
        <v>5</v>
      </c>
      <c r="N26" s="48">
        <v>30</v>
      </c>
      <c r="O26" s="48">
        <v>0.75</v>
      </c>
      <c r="P26" s="48">
        <v>0.5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 thickBot="1">
      <c r="B27" s="47" t="s">
        <v>46</v>
      </c>
      <c r="C27" s="46" t="s">
        <v>0</v>
      </c>
      <c r="D27" s="45">
        <v>17.5</v>
      </c>
      <c r="E27" s="45">
        <v>263</v>
      </c>
      <c r="F27" s="45">
        <v>210</v>
      </c>
      <c r="G27" s="45">
        <v>73</v>
      </c>
      <c r="H27" s="45">
        <v>234.5</v>
      </c>
      <c r="I27" s="45">
        <v>80</v>
      </c>
      <c r="J27" s="45">
        <v>38.700000000000003</v>
      </c>
      <c r="K27" s="45">
        <v>0.84</v>
      </c>
      <c r="L27" s="45">
        <v>0.54</v>
      </c>
      <c r="M27" s="45">
        <v>0.32</v>
      </c>
      <c r="N27" s="45">
        <v>0.32</v>
      </c>
      <c r="O27" s="45">
        <v>4.8000000000000001E-2</v>
      </c>
      <c r="P27" s="44">
        <v>4.8000000000000001E-2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75" thickBot="1">
      <c r="A28" s="57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0.25" customHeight="1" thickBot="1">
      <c r="B29" s="173" t="s">
        <v>45</v>
      </c>
      <c r="C29" s="43" t="s">
        <v>44</v>
      </c>
      <c r="D29" s="9" t="s">
        <v>14</v>
      </c>
      <c r="E29" s="9" t="s">
        <v>13</v>
      </c>
      <c r="F29" s="9" t="s">
        <v>12</v>
      </c>
      <c r="G29" s="9" t="s">
        <v>11</v>
      </c>
      <c r="H29" s="9" t="s">
        <v>10</v>
      </c>
      <c r="I29" s="9" t="s">
        <v>9</v>
      </c>
      <c r="J29" s="9" t="s">
        <v>8</v>
      </c>
      <c r="K29" s="8" t="s">
        <v>7</v>
      </c>
      <c r="L29" s="8" t="s">
        <v>6</v>
      </c>
      <c r="M29" s="8" t="s">
        <v>5</v>
      </c>
      <c r="N29" s="8" t="s">
        <v>4</v>
      </c>
      <c r="O29" s="8" t="s">
        <v>3</v>
      </c>
      <c r="P29" s="8" t="s">
        <v>2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thickBot="1">
      <c r="A30" s="56"/>
      <c r="B30" s="173"/>
      <c r="C30" s="50" t="s">
        <v>1</v>
      </c>
      <c r="D30" s="49">
        <f>D31/14</f>
        <v>1.2142857142857142</v>
      </c>
      <c r="E30" s="49">
        <f>E31/39.102</f>
        <v>8.4906142908291145</v>
      </c>
      <c r="F30" s="49">
        <f>F31/40.078</f>
        <v>5.8885173910873796</v>
      </c>
      <c r="G30" s="49">
        <f>G31/24.312</f>
        <v>2.8792365909838762</v>
      </c>
      <c r="H30" s="49">
        <f>H31/14</f>
        <v>17</v>
      </c>
      <c r="I30" s="49">
        <f>I31/32.064</f>
        <v>4.397455089820359</v>
      </c>
      <c r="J30" s="49">
        <f>J31/30.974</f>
        <v>2.2599599664234518</v>
      </c>
      <c r="K30" s="48">
        <v>15</v>
      </c>
      <c r="L30" s="48">
        <v>10</v>
      </c>
      <c r="M30" s="48">
        <v>5</v>
      </c>
      <c r="N30" s="48">
        <v>30</v>
      </c>
      <c r="O30" s="48">
        <v>0.75</v>
      </c>
      <c r="P30" s="48">
        <v>0.5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thickBot="1">
      <c r="B31" s="55" t="s">
        <v>43</v>
      </c>
      <c r="C31" s="54" t="s">
        <v>0</v>
      </c>
      <c r="D31" s="53">
        <v>17</v>
      </c>
      <c r="E31" s="53">
        <v>332</v>
      </c>
      <c r="F31" s="53">
        <v>236</v>
      </c>
      <c r="G31" s="53">
        <v>70</v>
      </c>
      <c r="H31" s="53">
        <v>238</v>
      </c>
      <c r="I31" s="53">
        <v>141</v>
      </c>
      <c r="J31" s="53">
        <v>70</v>
      </c>
      <c r="K31" s="53">
        <v>0.84</v>
      </c>
      <c r="L31" s="53">
        <v>0.54</v>
      </c>
      <c r="M31" s="53">
        <v>0.32</v>
      </c>
      <c r="N31" s="53">
        <v>0.32</v>
      </c>
      <c r="O31" s="53">
        <v>4.8000000000000001E-2</v>
      </c>
      <c r="P31" s="52">
        <v>4.8000000000000001E-2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 thickBot="1"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0.25" customHeight="1" thickBot="1">
      <c r="B33" s="173" t="s">
        <v>42</v>
      </c>
      <c r="C33" s="43" t="s">
        <v>41</v>
      </c>
      <c r="D33" s="9" t="s">
        <v>14</v>
      </c>
      <c r="E33" s="9" t="s">
        <v>13</v>
      </c>
      <c r="F33" s="9" t="s">
        <v>12</v>
      </c>
      <c r="G33" s="9" t="s">
        <v>11</v>
      </c>
      <c r="H33" s="9" t="s">
        <v>10</v>
      </c>
      <c r="I33" s="9" t="s">
        <v>9</v>
      </c>
      <c r="J33" s="9" t="s">
        <v>8</v>
      </c>
      <c r="K33" s="8" t="s">
        <v>7</v>
      </c>
      <c r="L33" s="8" t="s">
        <v>6</v>
      </c>
      <c r="M33" s="8" t="s">
        <v>5</v>
      </c>
      <c r="N33" s="8" t="s">
        <v>4</v>
      </c>
      <c r="O33" s="8" t="s">
        <v>3</v>
      </c>
      <c r="P33" s="8" t="s">
        <v>2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thickBot="1">
      <c r="B34" s="173"/>
      <c r="C34" s="50" t="s">
        <v>1</v>
      </c>
      <c r="D34" s="49">
        <f>D35/14</f>
        <v>1.2142857142857142</v>
      </c>
      <c r="E34" s="49">
        <f>E35/39.102</f>
        <v>9.4880057286072326</v>
      </c>
      <c r="F34" s="49">
        <f>F35/40.078</f>
        <v>5.3894904935376013</v>
      </c>
      <c r="G34" s="49">
        <f>G35/24.312</f>
        <v>2.3856531753866403</v>
      </c>
      <c r="H34" s="49">
        <f>H35/14</f>
        <v>16</v>
      </c>
      <c r="I34" s="49">
        <f>I35/32.064</f>
        <v>4.397455089820359</v>
      </c>
      <c r="J34" s="49">
        <f>J35/30.974</f>
        <v>2.2599599664234518</v>
      </c>
      <c r="K34" s="48">
        <v>15</v>
      </c>
      <c r="L34" s="48">
        <v>10</v>
      </c>
      <c r="M34" s="48">
        <v>5</v>
      </c>
      <c r="N34" s="48">
        <v>30</v>
      </c>
      <c r="O34" s="48">
        <v>0.75</v>
      </c>
      <c r="P34" s="48">
        <v>0.5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75" thickBot="1">
      <c r="B35" s="47" t="s">
        <v>40</v>
      </c>
      <c r="C35" s="46" t="s">
        <v>0</v>
      </c>
      <c r="D35" s="45">
        <v>17</v>
      </c>
      <c r="E35" s="45">
        <v>371</v>
      </c>
      <c r="F35" s="45">
        <v>216</v>
      </c>
      <c r="G35" s="45">
        <v>58</v>
      </c>
      <c r="H35" s="45">
        <v>224</v>
      </c>
      <c r="I35" s="45">
        <v>141</v>
      </c>
      <c r="J35" s="45">
        <v>70</v>
      </c>
      <c r="K35" s="45">
        <v>0.84</v>
      </c>
      <c r="L35" s="45">
        <v>0.54</v>
      </c>
      <c r="M35" s="45">
        <v>0.32</v>
      </c>
      <c r="N35" s="45">
        <v>0.32</v>
      </c>
      <c r="O35" s="45">
        <v>4.8000000000000001E-2</v>
      </c>
      <c r="P35" s="44">
        <v>4.8000000000000001E-2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75" thickBot="1"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0.25" customHeight="1" thickBot="1">
      <c r="C37" s="43" t="s">
        <v>39</v>
      </c>
      <c r="D37" s="9" t="s">
        <v>14</v>
      </c>
      <c r="E37" s="9" t="s">
        <v>13</v>
      </c>
      <c r="F37" s="9" t="s">
        <v>12</v>
      </c>
      <c r="G37" s="9" t="s">
        <v>11</v>
      </c>
      <c r="H37" s="9" t="s">
        <v>10</v>
      </c>
      <c r="I37" s="9" t="s">
        <v>9</v>
      </c>
      <c r="J37" s="9" t="s">
        <v>8</v>
      </c>
      <c r="K37" s="8" t="s">
        <v>7</v>
      </c>
      <c r="L37" s="8" t="s">
        <v>6</v>
      </c>
      <c r="M37" s="8" t="s">
        <v>5</v>
      </c>
      <c r="N37" s="8" t="s">
        <v>4</v>
      </c>
      <c r="O37" s="8" t="s">
        <v>3</v>
      </c>
      <c r="P37" s="8" t="s">
        <v>2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34.5" thickBot="1">
      <c r="B38" s="51" t="s">
        <v>38</v>
      </c>
      <c r="C38" s="50" t="s">
        <v>1</v>
      </c>
      <c r="D38" s="49">
        <f>D39/14</f>
        <v>1.2142857142857142</v>
      </c>
      <c r="E38" s="49">
        <f>E39/39.102</f>
        <v>9.9739143777811883</v>
      </c>
      <c r="F38" s="49">
        <f>F39/40.078</f>
        <v>5.2647337691501566</v>
      </c>
      <c r="G38" s="49">
        <f>G39/24.312</f>
        <v>2.2622573214873314</v>
      </c>
      <c r="H38" s="49">
        <f>H39/14</f>
        <v>16</v>
      </c>
      <c r="I38" s="49">
        <f>I39/32.064</f>
        <v>4.397455089820359</v>
      </c>
      <c r="J38" s="49">
        <f>J39/30.974</f>
        <v>2.2599599664234518</v>
      </c>
      <c r="K38" s="48">
        <v>15</v>
      </c>
      <c r="L38" s="48">
        <v>10</v>
      </c>
      <c r="M38" s="48">
        <v>5</v>
      </c>
      <c r="N38" s="48">
        <v>30</v>
      </c>
      <c r="O38" s="48">
        <v>0.75</v>
      </c>
      <c r="P38" s="48">
        <v>0.5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75" thickBot="1">
      <c r="B39" s="47" t="s">
        <v>37</v>
      </c>
      <c r="C39" s="46" t="s">
        <v>0</v>
      </c>
      <c r="D39" s="45">
        <v>17</v>
      </c>
      <c r="E39" s="45">
        <v>390</v>
      </c>
      <c r="F39" s="45">
        <v>211</v>
      </c>
      <c r="G39" s="45">
        <v>55</v>
      </c>
      <c r="H39" s="45">
        <v>224</v>
      </c>
      <c r="I39" s="45">
        <v>141</v>
      </c>
      <c r="J39" s="45">
        <v>70</v>
      </c>
      <c r="K39" s="45">
        <v>0.84</v>
      </c>
      <c r="L39" s="45">
        <v>0.54</v>
      </c>
      <c r="M39" s="45">
        <v>0.32</v>
      </c>
      <c r="N39" s="45">
        <v>0.32</v>
      </c>
      <c r="O39" s="45">
        <v>4.8000000000000001E-2</v>
      </c>
      <c r="P39" s="44">
        <v>4.8000000000000001E-2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75" thickBot="1"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0.25" customHeight="1" thickBot="1">
      <c r="B41" s="173" t="s">
        <v>36</v>
      </c>
      <c r="C41" s="43" t="s">
        <v>35</v>
      </c>
      <c r="D41" s="9" t="s">
        <v>14</v>
      </c>
      <c r="E41" s="9" t="s">
        <v>13</v>
      </c>
      <c r="F41" s="9" t="s">
        <v>12</v>
      </c>
      <c r="G41" s="9" t="s">
        <v>11</v>
      </c>
      <c r="H41" s="9" t="s">
        <v>10</v>
      </c>
      <c r="I41" s="9" t="s">
        <v>9</v>
      </c>
      <c r="J41" s="9" t="s">
        <v>8</v>
      </c>
      <c r="K41" s="8" t="s">
        <v>7</v>
      </c>
      <c r="L41" s="8" t="s">
        <v>6</v>
      </c>
      <c r="M41" s="8" t="s">
        <v>5</v>
      </c>
      <c r="N41" s="8" t="s">
        <v>4</v>
      </c>
      <c r="O41" s="8" t="s">
        <v>3</v>
      </c>
      <c r="P41" s="8" t="s">
        <v>2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thickBot="1">
      <c r="B42" s="173"/>
      <c r="C42" s="7" t="s">
        <v>1</v>
      </c>
      <c r="D42" s="35">
        <f>D43/14</f>
        <v>1.2142857142857142</v>
      </c>
      <c r="E42" s="35">
        <f>E43/39.102</f>
        <v>11.227047209861389</v>
      </c>
      <c r="F42" s="35">
        <f>F43/40.078</f>
        <v>4.7657068716003792</v>
      </c>
      <c r="G42" s="35">
        <f>G43/24.312</f>
        <v>2.1388614675880224</v>
      </c>
      <c r="H42" s="35">
        <f>H43/14</f>
        <v>16</v>
      </c>
      <c r="I42" s="35">
        <f>I43/32.064</f>
        <v>4.397455089820359</v>
      </c>
      <c r="J42" s="35">
        <f>J43/30.974</f>
        <v>2.2599599664234518</v>
      </c>
      <c r="K42" s="5">
        <v>15</v>
      </c>
      <c r="L42" s="5">
        <v>10</v>
      </c>
      <c r="M42" s="5">
        <v>5</v>
      </c>
      <c r="N42" s="5">
        <v>30</v>
      </c>
      <c r="O42" s="5">
        <v>0.75</v>
      </c>
      <c r="P42" s="5">
        <v>0.5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75" thickBot="1">
      <c r="B43" s="21" t="s">
        <v>35</v>
      </c>
      <c r="C43" s="3" t="s">
        <v>0</v>
      </c>
      <c r="D43" s="2">
        <v>17</v>
      </c>
      <c r="E43" s="2">
        <v>439</v>
      </c>
      <c r="F43" s="2">
        <v>191</v>
      </c>
      <c r="G43" s="2">
        <v>52</v>
      </c>
      <c r="H43" s="2">
        <v>224</v>
      </c>
      <c r="I43" s="2">
        <v>141</v>
      </c>
      <c r="J43" s="2">
        <v>70</v>
      </c>
      <c r="K43" s="2">
        <v>0.84</v>
      </c>
      <c r="L43" s="2">
        <v>0.54</v>
      </c>
      <c r="M43" s="2">
        <v>0.32</v>
      </c>
      <c r="N43" s="2">
        <v>0.32</v>
      </c>
      <c r="O43" s="2">
        <v>4.8000000000000001E-2</v>
      </c>
      <c r="P43" s="2">
        <v>4.8000000000000001E-2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G45" s="15" t="s">
        <v>34</v>
      </c>
      <c r="H45" s="15"/>
      <c r="I45" s="15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 thickBot="1"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0.25" thickBot="1">
      <c r="A47" s="41"/>
      <c r="B47" s="172" t="s">
        <v>33</v>
      </c>
      <c r="C47" s="36" t="s">
        <v>32</v>
      </c>
      <c r="D47" s="9" t="s">
        <v>14</v>
      </c>
      <c r="E47" s="9" t="s">
        <v>13</v>
      </c>
      <c r="F47" s="9" t="s">
        <v>12</v>
      </c>
      <c r="G47" s="9" t="s">
        <v>11</v>
      </c>
      <c r="H47" s="9" t="s">
        <v>10</v>
      </c>
      <c r="I47" s="9" t="s">
        <v>9</v>
      </c>
      <c r="J47" s="9" t="s">
        <v>8</v>
      </c>
      <c r="K47" s="8" t="s">
        <v>7</v>
      </c>
      <c r="L47" s="8" t="s">
        <v>6</v>
      </c>
      <c r="M47" s="8" t="s">
        <v>5</v>
      </c>
      <c r="N47" s="8" t="s">
        <v>4</v>
      </c>
      <c r="O47" s="8" t="s">
        <v>3</v>
      </c>
      <c r="P47" s="8" t="s">
        <v>2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 thickBot="1">
      <c r="B48" s="172"/>
      <c r="C48" s="40" t="s">
        <v>1</v>
      </c>
      <c r="D48" s="35">
        <f>D49/14</f>
        <v>1.0714285714285714</v>
      </c>
      <c r="E48" s="35">
        <f>E49/39.102</f>
        <v>7.3525650861848506</v>
      </c>
      <c r="F48" s="35">
        <f>F49/40.078</f>
        <v>4.9902689754977789</v>
      </c>
      <c r="G48" s="35">
        <f>G49/24.312</f>
        <v>2.5707469562356038</v>
      </c>
      <c r="H48" s="35">
        <f>H49/14</f>
        <v>16.785714285714285</v>
      </c>
      <c r="I48" s="35">
        <f>I49/32.064</f>
        <v>0</v>
      </c>
      <c r="J48" s="35">
        <f>J49/30.974</f>
        <v>2.4213856783108412</v>
      </c>
      <c r="K48" s="5">
        <v>15</v>
      </c>
      <c r="L48" s="5">
        <v>10</v>
      </c>
      <c r="M48" s="5">
        <v>5</v>
      </c>
      <c r="N48" s="5">
        <v>30</v>
      </c>
      <c r="O48" s="5">
        <v>0.75</v>
      </c>
      <c r="P48" s="5">
        <v>0.5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 thickBot="1">
      <c r="B49" s="39" t="s">
        <v>31</v>
      </c>
      <c r="C49" s="3" t="s">
        <v>0</v>
      </c>
      <c r="D49" s="2">
        <v>15</v>
      </c>
      <c r="E49" s="2">
        <v>287.5</v>
      </c>
      <c r="F49" s="2">
        <v>200</v>
      </c>
      <c r="G49" s="2">
        <v>62.5</v>
      </c>
      <c r="H49" s="2">
        <v>235</v>
      </c>
      <c r="I49" s="2"/>
      <c r="J49" s="2">
        <v>75</v>
      </c>
      <c r="K49" s="2">
        <v>0.84</v>
      </c>
      <c r="L49" s="2">
        <v>0.54</v>
      </c>
      <c r="M49" s="2">
        <v>0.32</v>
      </c>
      <c r="N49" s="2">
        <v>0.32</v>
      </c>
      <c r="O49" s="2">
        <v>4.8000000000000001E-2</v>
      </c>
      <c r="P49" s="2">
        <v>4.8000000000000001E-2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 thickBot="1"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0.25" customHeight="1" thickBot="1">
      <c r="B51" s="188" t="s">
        <v>30</v>
      </c>
      <c r="C51" s="36" t="s">
        <v>29</v>
      </c>
      <c r="D51" s="9" t="s">
        <v>14</v>
      </c>
      <c r="E51" s="9" t="s">
        <v>13</v>
      </c>
      <c r="F51" s="9" t="s">
        <v>12</v>
      </c>
      <c r="G51" s="9" t="s">
        <v>11</v>
      </c>
      <c r="H51" s="9" t="s">
        <v>10</v>
      </c>
      <c r="I51" s="9" t="s">
        <v>9</v>
      </c>
      <c r="J51" s="9" t="s">
        <v>8</v>
      </c>
      <c r="K51" s="8" t="s">
        <v>7</v>
      </c>
      <c r="L51" s="8" t="s">
        <v>6</v>
      </c>
      <c r="M51" s="8" t="s">
        <v>5</v>
      </c>
      <c r="N51" s="8" t="s">
        <v>4</v>
      </c>
      <c r="O51" s="8" t="s">
        <v>3</v>
      </c>
      <c r="P51" s="8" t="s">
        <v>2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 thickBot="1">
      <c r="A52" s="38"/>
      <c r="B52" s="188"/>
      <c r="C52" s="7" t="s">
        <v>1</v>
      </c>
      <c r="D52" s="35">
        <f>D53/14</f>
        <v>1.4285714285714286</v>
      </c>
      <c r="E52" s="35">
        <f>E53/39.102</f>
        <v>8.6312720576952593</v>
      </c>
      <c r="F52" s="35">
        <f>F53/40.078</f>
        <v>5.3021607864663904</v>
      </c>
      <c r="G52" s="35">
        <f>G53/24.312</f>
        <v>2.5707469562356038</v>
      </c>
      <c r="H52" s="35">
        <f>H53/14</f>
        <v>16.428571428571427</v>
      </c>
      <c r="I52" s="35">
        <f>I53/32.064</f>
        <v>0</v>
      </c>
      <c r="J52" s="35">
        <f>J53/30.974</f>
        <v>2.0178213985923676</v>
      </c>
      <c r="K52" s="5">
        <v>15</v>
      </c>
      <c r="L52" s="5">
        <v>10</v>
      </c>
      <c r="M52" s="5">
        <v>5</v>
      </c>
      <c r="N52" s="5">
        <v>30</v>
      </c>
      <c r="O52" s="5">
        <v>0.75</v>
      </c>
      <c r="P52" s="5">
        <v>0.5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 thickBot="1">
      <c r="B53" s="37" t="s">
        <v>28</v>
      </c>
      <c r="C53" s="3" t="s">
        <v>0</v>
      </c>
      <c r="D53" s="2">
        <v>20</v>
      </c>
      <c r="E53" s="2">
        <v>337.5</v>
      </c>
      <c r="F53" s="2">
        <v>212.5</v>
      </c>
      <c r="G53" s="2">
        <v>62.5</v>
      </c>
      <c r="H53" s="2">
        <v>230</v>
      </c>
      <c r="I53" s="2"/>
      <c r="J53" s="2">
        <v>62.5</v>
      </c>
      <c r="K53" s="2">
        <v>0.84</v>
      </c>
      <c r="L53" s="2">
        <v>0.54</v>
      </c>
      <c r="M53" s="2">
        <v>0.32</v>
      </c>
      <c r="N53" s="2">
        <v>0.32</v>
      </c>
      <c r="O53" s="2">
        <v>4.8000000000000001E-2</v>
      </c>
      <c r="P53" s="2">
        <v>4.8000000000000001E-2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75" thickBot="1"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0.25" thickBot="1">
      <c r="C55" s="36" t="s">
        <v>27</v>
      </c>
      <c r="D55" s="9" t="s">
        <v>14</v>
      </c>
      <c r="E55" s="9" t="s">
        <v>13</v>
      </c>
      <c r="F55" s="9" t="s">
        <v>12</v>
      </c>
      <c r="G55" s="9" t="s">
        <v>11</v>
      </c>
      <c r="H55" s="9" t="s">
        <v>10</v>
      </c>
      <c r="I55" s="9" t="s">
        <v>9</v>
      </c>
      <c r="J55" s="9" t="s">
        <v>8</v>
      </c>
      <c r="K55" s="8" t="s">
        <v>7</v>
      </c>
      <c r="L55" s="8" t="s">
        <v>6</v>
      </c>
      <c r="M55" s="8" t="s">
        <v>5</v>
      </c>
      <c r="N55" s="8" t="s">
        <v>4</v>
      </c>
      <c r="O55" s="8" t="s">
        <v>3</v>
      </c>
      <c r="P55" s="8" t="s">
        <v>2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75" thickBot="1">
      <c r="C56" s="7" t="s">
        <v>1</v>
      </c>
      <c r="D56" s="35">
        <f>D57/14</f>
        <v>1.4285714285714286</v>
      </c>
      <c r="E56" s="35">
        <f>E57/39.102</f>
        <v>9.3473479617410877</v>
      </c>
      <c r="F56" s="35">
        <f>F57/40.078</f>
        <v>4.2916313189280899</v>
      </c>
      <c r="G56" s="35">
        <f>G57/24.312</f>
        <v>2.6530108588351431</v>
      </c>
      <c r="H56" s="35">
        <f>H57/14</f>
        <v>13.928571428571429</v>
      </c>
      <c r="I56" s="35">
        <f>I57/32.064</f>
        <v>0</v>
      </c>
      <c r="J56" s="35">
        <f>J57/30.974</f>
        <v>2.0823916833473235</v>
      </c>
      <c r="K56" s="5">
        <v>15</v>
      </c>
      <c r="L56" s="5">
        <v>10</v>
      </c>
      <c r="M56" s="5">
        <v>5</v>
      </c>
      <c r="N56" s="5">
        <v>30</v>
      </c>
      <c r="O56" s="5">
        <v>0.75</v>
      </c>
      <c r="P56" s="5">
        <v>0.5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75" thickBot="1">
      <c r="B57" s="34" t="s">
        <v>26</v>
      </c>
      <c r="C57" s="3" t="s">
        <v>0</v>
      </c>
      <c r="D57" s="2">
        <v>20</v>
      </c>
      <c r="E57" s="2">
        <v>365.5</v>
      </c>
      <c r="F57" s="2">
        <v>172</v>
      </c>
      <c r="G57" s="2">
        <v>64.5</v>
      </c>
      <c r="H57" s="2">
        <v>195</v>
      </c>
      <c r="I57" s="2"/>
      <c r="J57" s="2">
        <v>64.5</v>
      </c>
      <c r="K57" s="2">
        <v>0.84</v>
      </c>
      <c r="L57" s="2">
        <v>0.54</v>
      </c>
      <c r="M57" s="2">
        <v>0.32</v>
      </c>
      <c r="N57" s="2">
        <v>0.32</v>
      </c>
      <c r="O57" s="2">
        <v>4.8000000000000001E-2</v>
      </c>
      <c r="P57" s="2">
        <v>4.8000000000000001E-2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C58" s="24"/>
      <c r="D58" s="24"/>
      <c r="E58" s="24"/>
      <c r="F58" s="24"/>
      <c r="G58" s="24"/>
      <c r="H58" s="24"/>
      <c r="I58" s="24"/>
      <c r="J58" s="24"/>
      <c r="K58" s="33"/>
      <c r="L58" s="32"/>
      <c r="M58" s="33"/>
      <c r="N58" s="32"/>
      <c r="O58" s="32"/>
      <c r="P58" s="3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75" thickBot="1">
      <c r="C59" s="24"/>
      <c r="D59" s="24"/>
      <c r="E59" s="24"/>
      <c r="F59" s="24"/>
      <c r="G59" s="189" t="s">
        <v>25</v>
      </c>
      <c r="H59" s="189"/>
      <c r="I59" s="189"/>
      <c r="J59" s="24"/>
      <c r="K59" s="31"/>
      <c r="L59" s="31"/>
      <c r="M59" s="31"/>
      <c r="N59" s="31"/>
      <c r="O59" s="31"/>
      <c r="P59" s="3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75" thickBot="1">
      <c r="A60" s="30"/>
      <c r="B60" s="29"/>
      <c r="C60" s="28"/>
      <c r="D60" s="28"/>
      <c r="E60" s="187"/>
      <c r="F60" s="187"/>
      <c r="G60" s="27"/>
      <c r="H60" s="24"/>
      <c r="I60" s="26"/>
      <c r="J60" s="25"/>
      <c r="K60" s="24"/>
      <c r="L60" s="23"/>
      <c r="M60" s="23"/>
      <c r="N60" s="23"/>
      <c r="O60" s="23"/>
      <c r="P60" s="23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5.5" customHeight="1" thickBot="1">
      <c r="A61" s="22"/>
      <c r="B61" s="176" t="s">
        <v>24</v>
      </c>
      <c r="C61" s="19" t="s">
        <v>23</v>
      </c>
      <c r="D61" s="9" t="s">
        <v>14</v>
      </c>
      <c r="E61" s="9" t="s">
        <v>13</v>
      </c>
      <c r="F61" s="9" t="s">
        <v>12</v>
      </c>
      <c r="G61" s="9" t="s">
        <v>11</v>
      </c>
      <c r="H61" s="9" t="s">
        <v>10</v>
      </c>
      <c r="I61" s="9" t="s">
        <v>9</v>
      </c>
      <c r="J61" s="6" t="s">
        <v>8</v>
      </c>
      <c r="K61" s="8" t="s">
        <v>7</v>
      </c>
      <c r="L61" s="8" t="s">
        <v>6</v>
      </c>
      <c r="M61" s="8" t="s">
        <v>5</v>
      </c>
      <c r="N61" s="8" t="s">
        <v>4</v>
      </c>
      <c r="O61" s="8" t="s">
        <v>3</v>
      </c>
      <c r="P61" s="8" t="s">
        <v>2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75" customHeight="1" thickBot="1">
      <c r="B62" s="176"/>
      <c r="C62" s="7" t="s">
        <v>1</v>
      </c>
      <c r="D62" s="6">
        <f>D63/14</f>
        <v>1.5</v>
      </c>
      <c r="E62" s="6">
        <f>E63/39.102</f>
        <v>7.7745383867832851</v>
      </c>
      <c r="F62" s="6">
        <f>F63/40.078</f>
        <v>5.9883227705973345</v>
      </c>
      <c r="G62" s="6">
        <f>G63/24.312</f>
        <v>2.2211253701875617</v>
      </c>
      <c r="H62" s="6">
        <f>H63/14</f>
        <v>22</v>
      </c>
      <c r="I62" s="6">
        <f>I63/32.064</f>
        <v>1.4502245508982037</v>
      </c>
      <c r="J62" s="6">
        <f>J63/30.974</f>
        <v>1.9500225995996643</v>
      </c>
      <c r="K62" s="5">
        <v>27</v>
      </c>
      <c r="L62" s="5">
        <v>13</v>
      </c>
      <c r="M62" s="5">
        <v>5.5</v>
      </c>
      <c r="N62" s="5">
        <v>41</v>
      </c>
      <c r="O62" s="5">
        <v>0.75</v>
      </c>
      <c r="P62" s="5">
        <v>0.68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75" customHeight="1" thickBot="1">
      <c r="A63" s="18"/>
      <c r="B63" s="21"/>
      <c r="C63" s="3" t="s">
        <v>0</v>
      </c>
      <c r="D63" s="2">
        <v>21</v>
      </c>
      <c r="E63" s="2">
        <v>304</v>
      </c>
      <c r="F63" s="2">
        <v>240</v>
      </c>
      <c r="G63" s="2">
        <v>54</v>
      </c>
      <c r="H63" s="2">
        <v>308</v>
      </c>
      <c r="I63" s="2">
        <v>46.5</v>
      </c>
      <c r="J63" s="2">
        <v>60.4</v>
      </c>
      <c r="K63" s="2">
        <v>1.4</v>
      </c>
      <c r="L63" s="2">
        <v>0.7</v>
      </c>
      <c r="M63" s="2">
        <v>0.36</v>
      </c>
      <c r="N63" s="2">
        <v>0.44</v>
      </c>
      <c r="O63" s="2">
        <v>4.8000000000000001E-2</v>
      </c>
      <c r="P63" s="2">
        <v>6.5000000000000002E-2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7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 thickBot="1">
      <c r="A65" s="17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0.25" customHeight="1" thickBot="1">
      <c r="B66" s="176" t="s">
        <v>22</v>
      </c>
      <c r="C66" s="19" t="s">
        <v>21</v>
      </c>
      <c r="D66" s="9" t="s">
        <v>14</v>
      </c>
      <c r="E66" s="9" t="s">
        <v>13</v>
      </c>
      <c r="F66" s="9" t="s">
        <v>12</v>
      </c>
      <c r="G66" s="9" t="s">
        <v>11</v>
      </c>
      <c r="H66" s="9" t="s">
        <v>10</v>
      </c>
      <c r="I66" s="9" t="s">
        <v>9</v>
      </c>
      <c r="J66" s="9" t="s">
        <v>8</v>
      </c>
      <c r="K66" s="8" t="s">
        <v>7</v>
      </c>
      <c r="L66" s="8" t="s">
        <v>6</v>
      </c>
      <c r="M66" s="8" t="s">
        <v>5</v>
      </c>
      <c r="N66" s="8" t="s">
        <v>4</v>
      </c>
      <c r="O66" s="8" t="s">
        <v>3</v>
      </c>
      <c r="P66" s="8" t="s">
        <v>2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75" customHeight="1" thickBot="1">
      <c r="A67" s="18"/>
      <c r="B67" s="176"/>
      <c r="C67" s="7" t="s">
        <v>1</v>
      </c>
      <c r="D67" s="6">
        <f>D68/14</f>
        <v>1</v>
      </c>
      <c r="E67" s="6">
        <f>E68/39.102</f>
        <v>7.5187969924812039</v>
      </c>
      <c r="F67" s="6">
        <f>F68/40.078</f>
        <v>5.2896851140276455</v>
      </c>
      <c r="G67" s="6">
        <f>G68/24.312</f>
        <v>2.2211253701875617</v>
      </c>
      <c r="H67" s="6">
        <f>H68/14</f>
        <v>15.642857142857142</v>
      </c>
      <c r="I67" s="6">
        <f>I68/32.064</f>
        <v>1.3972055888223551</v>
      </c>
      <c r="J67" s="6">
        <f>J68/30.974</f>
        <v>1.4011751791825402</v>
      </c>
      <c r="K67" s="5">
        <v>15</v>
      </c>
      <c r="L67" s="5">
        <v>10</v>
      </c>
      <c r="M67" s="5">
        <v>5</v>
      </c>
      <c r="N67" s="5">
        <v>25</v>
      </c>
      <c r="O67" s="5">
        <v>0.75</v>
      </c>
      <c r="P67" s="5">
        <v>0.5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75" thickBot="1">
      <c r="A68" s="17"/>
      <c r="B68" s="20"/>
      <c r="C68" s="3" t="s">
        <v>0</v>
      </c>
      <c r="D68" s="2">
        <v>14</v>
      </c>
      <c r="E68" s="2">
        <v>294</v>
      </c>
      <c r="F68" s="2">
        <v>212</v>
      </c>
      <c r="G68" s="2">
        <v>54</v>
      </c>
      <c r="H68" s="2">
        <v>219</v>
      </c>
      <c r="I68" s="2">
        <v>44.8</v>
      </c>
      <c r="J68" s="2">
        <v>43.4</v>
      </c>
      <c r="K68" s="2">
        <v>0.84</v>
      </c>
      <c r="L68" s="2">
        <v>0.54900000000000004</v>
      </c>
      <c r="M68" s="2">
        <v>0.32600000000000001</v>
      </c>
      <c r="N68" s="2">
        <v>0.27</v>
      </c>
      <c r="O68" s="2">
        <v>4.8000000000000001E-2</v>
      </c>
      <c r="P68" s="2">
        <v>4.8000000000000001E-2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7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75" thickBot="1">
      <c r="A70" s="17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0.25" customHeight="1" thickBot="1">
      <c r="B71" s="176" t="s">
        <v>20</v>
      </c>
      <c r="C71" s="19" t="s">
        <v>19</v>
      </c>
      <c r="D71" s="9" t="s">
        <v>14</v>
      </c>
      <c r="E71" s="9" t="s">
        <v>13</v>
      </c>
      <c r="F71" s="9" t="s">
        <v>12</v>
      </c>
      <c r="G71" s="9" t="s">
        <v>11</v>
      </c>
      <c r="H71" s="9" t="s">
        <v>10</v>
      </c>
      <c r="I71" s="9" t="s">
        <v>9</v>
      </c>
      <c r="J71" s="9" t="s">
        <v>8</v>
      </c>
      <c r="K71" s="8" t="s">
        <v>7</v>
      </c>
      <c r="L71" s="8" t="s">
        <v>6</v>
      </c>
      <c r="M71" s="8" t="s">
        <v>5</v>
      </c>
      <c r="N71" s="8" t="s">
        <v>4</v>
      </c>
      <c r="O71" s="8" t="s">
        <v>3</v>
      </c>
      <c r="P71" s="8" t="s">
        <v>2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75" customHeight="1" thickBot="1">
      <c r="A72" s="18"/>
      <c r="B72" s="176"/>
      <c r="C72" s="7" t="s">
        <v>1</v>
      </c>
      <c r="D72" s="6">
        <f>D73/14</f>
        <v>1</v>
      </c>
      <c r="E72" s="6">
        <f>E73/39.102</f>
        <v>8.465040151398906</v>
      </c>
      <c r="F72" s="6">
        <f>F73/40.078</f>
        <v>4.9902689754977789</v>
      </c>
      <c r="G72" s="6">
        <f>G73/24.312</f>
        <v>2.2622573214873314</v>
      </c>
      <c r="H72" s="6">
        <f>H73/14</f>
        <v>14.25</v>
      </c>
      <c r="I72" s="6">
        <f>I73/32.064</f>
        <v>1.4970059880239521</v>
      </c>
      <c r="J72" s="6">
        <f>J73/30.974</f>
        <v>1.2510492671272679</v>
      </c>
      <c r="K72" s="5">
        <v>15</v>
      </c>
      <c r="L72" s="5">
        <v>10</v>
      </c>
      <c r="M72" s="5">
        <v>5</v>
      </c>
      <c r="N72" s="5">
        <v>25</v>
      </c>
      <c r="O72" s="5">
        <v>0.75</v>
      </c>
      <c r="P72" s="5">
        <v>0.5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75" thickBot="1">
      <c r="A73" s="17"/>
      <c r="B73" s="16"/>
      <c r="C73" s="3" t="s">
        <v>0</v>
      </c>
      <c r="D73" s="2">
        <v>14</v>
      </c>
      <c r="E73" s="2">
        <v>331</v>
      </c>
      <c r="F73" s="2">
        <v>200</v>
      </c>
      <c r="G73" s="2">
        <v>55</v>
      </c>
      <c r="H73" s="2">
        <v>199.5</v>
      </c>
      <c r="I73" s="2">
        <v>48</v>
      </c>
      <c r="J73" s="2">
        <v>38.75</v>
      </c>
      <c r="K73" s="2">
        <v>0.84</v>
      </c>
      <c r="L73" s="2">
        <v>0.54900000000000004</v>
      </c>
      <c r="M73" s="2">
        <v>0.32600000000000001</v>
      </c>
      <c r="N73" s="2">
        <v>0.27</v>
      </c>
      <c r="O73" s="2">
        <v>4.8000000000000001E-2</v>
      </c>
      <c r="P73" s="2">
        <v>4.8000000000000001E-2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75" thickBot="1"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0.25" customHeight="1" thickBot="1">
      <c r="B76" s="174" t="s">
        <v>18</v>
      </c>
      <c r="C76" s="12" t="s">
        <v>17</v>
      </c>
      <c r="D76" s="9" t="s">
        <v>14</v>
      </c>
      <c r="E76" s="9" t="s">
        <v>13</v>
      </c>
      <c r="F76" s="9" t="s">
        <v>12</v>
      </c>
      <c r="G76" s="9" t="s">
        <v>11</v>
      </c>
      <c r="H76" s="9" t="s">
        <v>10</v>
      </c>
      <c r="I76" s="9" t="s">
        <v>9</v>
      </c>
      <c r="J76" s="9" t="s">
        <v>8</v>
      </c>
      <c r="K76" s="8" t="s">
        <v>7</v>
      </c>
      <c r="L76" s="8" t="s">
        <v>6</v>
      </c>
      <c r="M76" s="8" t="s">
        <v>5</v>
      </c>
      <c r="N76" s="8" t="s">
        <v>4</v>
      </c>
      <c r="O76" s="8" t="s">
        <v>3</v>
      </c>
      <c r="P76" s="8" t="s">
        <v>2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75" thickBot="1">
      <c r="A77" s="15"/>
      <c r="B77" s="174"/>
      <c r="C77" s="7" t="s">
        <v>1</v>
      </c>
      <c r="D77" s="6">
        <f>D78/14</f>
        <v>0</v>
      </c>
      <c r="E77" s="6">
        <f>E78/39.102</f>
        <v>3.5803795202291444</v>
      </c>
      <c r="F77" s="6">
        <f>F78/40.08</f>
        <v>4.9900199600798407</v>
      </c>
      <c r="G77" s="6">
        <f>G78/24.312</f>
        <v>2.0565975649884831</v>
      </c>
      <c r="H77" s="6">
        <f>H78/14</f>
        <v>10.714285714285714</v>
      </c>
      <c r="I77" s="6">
        <f>I78/32.064</f>
        <v>2.4950099800399204</v>
      </c>
      <c r="J77" s="6">
        <f>J78/30.974</f>
        <v>2.2599599664234518</v>
      </c>
      <c r="K77" s="5">
        <v>15</v>
      </c>
      <c r="L77" s="5">
        <v>10</v>
      </c>
      <c r="M77" s="5">
        <v>5</v>
      </c>
      <c r="N77" s="5">
        <v>30</v>
      </c>
      <c r="O77" s="5">
        <v>0.75</v>
      </c>
      <c r="P77" s="5">
        <v>0.5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75" thickBot="1">
      <c r="B78" s="14"/>
      <c r="C78" s="3" t="s">
        <v>0</v>
      </c>
      <c r="D78" s="2"/>
      <c r="E78" s="2">
        <v>140</v>
      </c>
      <c r="F78" s="2">
        <v>200</v>
      </c>
      <c r="G78" s="2">
        <v>50</v>
      </c>
      <c r="H78" s="2">
        <v>150</v>
      </c>
      <c r="I78" s="2">
        <v>80</v>
      </c>
      <c r="J78" s="2">
        <v>70</v>
      </c>
      <c r="K78" s="2">
        <v>4</v>
      </c>
      <c r="L78" s="2">
        <v>0.54</v>
      </c>
      <c r="M78" s="2">
        <v>0.32</v>
      </c>
      <c r="N78" s="2">
        <v>0.5</v>
      </c>
      <c r="O78" s="2">
        <v>4.8000000000000001E-2</v>
      </c>
      <c r="P78" s="2">
        <v>4.8000000000000001E-2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thickBot="1"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0.25" customHeight="1" thickBot="1">
      <c r="B80" s="175" t="s">
        <v>16</v>
      </c>
      <c r="C80" s="12"/>
      <c r="D80" s="9" t="s">
        <v>14</v>
      </c>
      <c r="E80" s="9" t="s">
        <v>13</v>
      </c>
      <c r="F80" s="9" t="s">
        <v>12</v>
      </c>
      <c r="G80" s="9" t="s">
        <v>11</v>
      </c>
      <c r="H80" s="9" t="s">
        <v>10</v>
      </c>
      <c r="I80" s="9" t="s">
        <v>9</v>
      </c>
      <c r="J80" s="9" t="s">
        <v>8</v>
      </c>
      <c r="K80" s="8" t="s">
        <v>7</v>
      </c>
      <c r="L80" s="8" t="s">
        <v>6</v>
      </c>
      <c r="M80" s="8" t="s">
        <v>5</v>
      </c>
      <c r="N80" s="8" t="s">
        <v>4</v>
      </c>
      <c r="O80" s="8" t="s">
        <v>3</v>
      </c>
      <c r="P80" s="8" t="s">
        <v>2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75" thickBot="1">
      <c r="A81" s="13"/>
      <c r="B81" s="175"/>
      <c r="C81" s="7" t="s">
        <v>1</v>
      </c>
      <c r="D81" s="6">
        <f>D82/14</f>
        <v>0</v>
      </c>
      <c r="E81" s="6">
        <f>E82/39.102</f>
        <v>8.9509488005728617</v>
      </c>
      <c r="F81" s="6">
        <f>F82/40.08</f>
        <v>6.4870259481037928</v>
      </c>
      <c r="G81" s="6">
        <f>G82/24.312</f>
        <v>2.0565975649884831</v>
      </c>
      <c r="H81" s="6">
        <f>H82/14</f>
        <v>5.7142857142857144</v>
      </c>
      <c r="I81" s="6">
        <f>I82/32.064</f>
        <v>2.4950099800399204</v>
      </c>
      <c r="J81" s="6">
        <f>J82/30.974</f>
        <v>2.2599599664234518</v>
      </c>
      <c r="K81" s="5">
        <v>15</v>
      </c>
      <c r="L81" s="5">
        <v>10</v>
      </c>
      <c r="M81" s="5">
        <v>5</v>
      </c>
      <c r="N81" s="5">
        <v>30</v>
      </c>
      <c r="O81" s="5">
        <v>0.75</v>
      </c>
      <c r="P81" s="5">
        <v>0.5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75" thickBot="1">
      <c r="B82" s="4"/>
      <c r="C82" s="3" t="s">
        <v>0</v>
      </c>
      <c r="D82" s="2"/>
      <c r="E82" s="2">
        <v>350</v>
      </c>
      <c r="F82" s="2">
        <v>260</v>
      </c>
      <c r="G82" s="2">
        <v>50</v>
      </c>
      <c r="H82" s="2">
        <v>80</v>
      </c>
      <c r="I82" s="2">
        <v>80</v>
      </c>
      <c r="J82" s="2">
        <v>70</v>
      </c>
      <c r="K82" s="2">
        <v>4</v>
      </c>
      <c r="L82" s="2">
        <v>0.54</v>
      </c>
      <c r="M82" s="2">
        <v>0.32</v>
      </c>
      <c r="N82" s="2">
        <v>0.5</v>
      </c>
      <c r="O82" s="2">
        <v>4.8000000000000001E-2</v>
      </c>
      <c r="P82" s="2">
        <v>4.8000000000000001E-2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thickBot="1"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0.25" customHeight="1" thickBot="1">
      <c r="B85" s="175" t="s">
        <v>15</v>
      </c>
      <c r="C85" s="12"/>
      <c r="D85" s="9" t="s">
        <v>14</v>
      </c>
      <c r="E85" s="9" t="s">
        <v>13</v>
      </c>
      <c r="F85" s="9" t="s">
        <v>12</v>
      </c>
      <c r="G85" s="9" t="s">
        <v>11</v>
      </c>
      <c r="H85" s="9" t="s">
        <v>10</v>
      </c>
      <c r="I85" s="9" t="s">
        <v>9</v>
      </c>
      <c r="J85" s="9" t="s">
        <v>8</v>
      </c>
      <c r="K85" s="8" t="s">
        <v>7</v>
      </c>
      <c r="L85" s="8" t="s">
        <v>6</v>
      </c>
      <c r="M85" s="8" t="s">
        <v>5</v>
      </c>
      <c r="N85" s="8" t="s">
        <v>4</v>
      </c>
      <c r="O85" s="8" t="s">
        <v>3</v>
      </c>
      <c r="P85" s="8" t="s">
        <v>2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thickBot="1">
      <c r="A86" s="11"/>
      <c r="B86" s="175"/>
      <c r="C86" s="7" t="s">
        <v>1</v>
      </c>
      <c r="D86" s="6">
        <f>D87/14</f>
        <v>0</v>
      </c>
      <c r="E86" s="6">
        <f>E87/39.102</f>
        <v>2.5574139430208174</v>
      </c>
      <c r="F86" s="6">
        <f>F87/40.08</f>
        <v>4.9900199600798407</v>
      </c>
      <c r="G86" s="6">
        <f>G87/24.312</f>
        <v>2.0565975649884831</v>
      </c>
      <c r="H86" s="6">
        <f>H87/14</f>
        <v>5.7142857142857144</v>
      </c>
      <c r="I86" s="6">
        <f>I87/32.064</f>
        <v>2.4950099800399204</v>
      </c>
      <c r="J86" s="6">
        <f>J87/30.974</f>
        <v>1.4528314069865047</v>
      </c>
      <c r="K86" s="5">
        <v>15</v>
      </c>
      <c r="L86" s="5">
        <v>10</v>
      </c>
      <c r="M86" s="5">
        <v>5</v>
      </c>
      <c r="N86" s="5">
        <v>30</v>
      </c>
      <c r="O86" s="5">
        <v>0.75</v>
      </c>
      <c r="P86" s="5">
        <v>0.5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thickBot="1">
      <c r="B87" s="4"/>
      <c r="C87" s="3" t="s">
        <v>0</v>
      </c>
      <c r="D87" s="2"/>
      <c r="E87" s="2">
        <v>100</v>
      </c>
      <c r="F87" s="2">
        <v>200</v>
      </c>
      <c r="G87" s="2">
        <v>50</v>
      </c>
      <c r="H87" s="2">
        <v>80</v>
      </c>
      <c r="I87" s="2">
        <v>80</v>
      </c>
      <c r="J87" s="2">
        <v>45</v>
      </c>
      <c r="K87" s="2">
        <v>4</v>
      </c>
      <c r="L87" s="2">
        <v>0.54</v>
      </c>
      <c r="M87" s="2">
        <v>0.32</v>
      </c>
      <c r="N87" s="2">
        <v>0.5</v>
      </c>
      <c r="O87" s="2">
        <v>4.8000000000000001E-2</v>
      </c>
      <c r="P87" s="2">
        <v>4.8000000000000001E-2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thickBot="1"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20.25" thickBot="1">
      <c r="B89" s="170"/>
      <c r="C89" s="10"/>
      <c r="D89" s="9" t="s">
        <v>14</v>
      </c>
      <c r="E89" s="9" t="s">
        <v>13</v>
      </c>
      <c r="F89" s="9" t="s">
        <v>12</v>
      </c>
      <c r="G89" s="9" t="s">
        <v>11</v>
      </c>
      <c r="H89" s="9" t="s">
        <v>10</v>
      </c>
      <c r="I89" s="9" t="s">
        <v>9</v>
      </c>
      <c r="J89" s="9" t="s">
        <v>8</v>
      </c>
      <c r="K89" s="8" t="s">
        <v>7</v>
      </c>
      <c r="L89" s="8" t="s">
        <v>6</v>
      </c>
      <c r="M89" s="8" t="s">
        <v>5</v>
      </c>
      <c r="N89" s="8" t="s">
        <v>4</v>
      </c>
      <c r="O89" s="8" t="s">
        <v>3</v>
      </c>
      <c r="P89" s="8" t="s">
        <v>2</v>
      </c>
      <c r="Q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thickBot="1">
      <c r="B90" s="170"/>
      <c r="C90" s="7" t="s">
        <v>1</v>
      </c>
      <c r="D90" s="6">
        <f>D91/14</f>
        <v>0</v>
      </c>
      <c r="E90" s="6">
        <f>E91/39.102</f>
        <v>0</v>
      </c>
      <c r="F90" s="6">
        <f>F91/40.08</f>
        <v>0</v>
      </c>
      <c r="G90" s="6">
        <f>G91/24.312</f>
        <v>0</v>
      </c>
      <c r="H90" s="6">
        <f>H91/14</f>
        <v>0</v>
      </c>
      <c r="I90" s="6">
        <f>I91/32.064</f>
        <v>0</v>
      </c>
      <c r="J90" s="6">
        <f>J91/30.974</f>
        <v>0</v>
      </c>
      <c r="K90" s="5">
        <v>15</v>
      </c>
      <c r="L90" s="5">
        <v>10</v>
      </c>
      <c r="M90" s="5">
        <v>5</v>
      </c>
      <c r="N90" s="5">
        <v>30</v>
      </c>
      <c r="O90" s="5">
        <v>0.75</v>
      </c>
      <c r="P90" s="5">
        <v>0.5</v>
      </c>
      <c r="Q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thickBot="1">
      <c r="B91" s="4"/>
      <c r="C91" s="3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thickBo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20.25" thickBot="1">
      <c r="B93" s="170"/>
      <c r="C93" s="10"/>
      <c r="D93" s="9" t="s">
        <v>14</v>
      </c>
      <c r="E93" s="9" t="s">
        <v>13</v>
      </c>
      <c r="F93" s="9" t="s">
        <v>12</v>
      </c>
      <c r="G93" s="9" t="s">
        <v>11</v>
      </c>
      <c r="H93" s="9" t="s">
        <v>10</v>
      </c>
      <c r="I93" s="9" t="s">
        <v>9</v>
      </c>
      <c r="J93" s="9" t="s">
        <v>8</v>
      </c>
      <c r="K93" s="8" t="s">
        <v>7</v>
      </c>
      <c r="L93" s="8" t="s">
        <v>6</v>
      </c>
      <c r="M93" s="8" t="s">
        <v>5</v>
      </c>
      <c r="N93" s="8" t="s">
        <v>4</v>
      </c>
      <c r="O93" s="8" t="s">
        <v>3</v>
      </c>
      <c r="P93" s="8" t="s">
        <v>2</v>
      </c>
      <c r="Q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thickBot="1">
      <c r="B94" s="170"/>
      <c r="C94" s="7" t="s">
        <v>1</v>
      </c>
      <c r="D94" s="6">
        <f>D95/14</f>
        <v>0</v>
      </c>
      <c r="E94" s="6">
        <f>E95/39.102</f>
        <v>0</v>
      </c>
      <c r="F94" s="6">
        <f>F95/40.08</f>
        <v>0</v>
      </c>
      <c r="G94" s="6">
        <f>G95/24.312</f>
        <v>0</v>
      </c>
      <c r="H94" s="6">
        <f>H95/14</f>
        <v>0</v>
      </c>
      <c r="I94" s="6">
        <f>I95/32.064</f>
        <v>0</v>
      </c>
      <c r="J94" s="6">
        <f>J95/30.974</f>
        <v>0</v>
      </c>
      <c r="K94" s="5">
        <v>15</v>
      </c>
      <c r="L94" s="5">
        <v>10</v>
      </c>
      <c r="M94" s="5">
        <v>5</v>
      </c>
      <c r="N94" s="5">
        <v>30</v>
      </c>
      <c r="O94" s="5">
        <v>0.75</v>
      </c>
      <c r="P94" s="5">
        <v>0.5</v>
      </c>
      <c r="Q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thickBot="1">
      <c r="B95" s="4"/>
      <c r="C95" s="3" t="s">
        <v>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thickBo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:31" ht="20.25" customHeight="1" thickBot="1">
      <c r="B97" s="170"/>
      <c r="C97" s="10"/>
      <c r="D97" s="9" t="s">
        <v>14</v>
      </c>
      <c r="E97" s="9" t="s">
        <v>13</v>
      </c>
      <c r="F97" s="9" t="s">
        <v>12</v>
      </c>
      <c r="G97" s="9" t="s">
        <v>11</v>
      </c>
      <c r="H97" s="9" t="s">
        <v>10</v>
      </c>
      <c r="I97" s="9" t="s">
        <v>9</v>
      </c>
      <c r="J97" s="9" t="s">
        <v>8</v>
      </c>
      <c r="K97" s="8" t="s">
        <v>7</v>
      </c>
      <c r="L97" s="8" t="s">
        <v>6</v>
      </c>
      <c r="M97" s="8" t="s">
        <v>5</v>
      </c>
      <c r="N97" s="8" t="s">
        <v>4</v>
      </c>
      <c r="O97" s="8" t="s">
        <v>3</v>
      </c>
      <c r="P97" s="8" t="s">
        <v>2</v>
      </c>
      <c r="Q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15.75" thickBot="1">
      <c r="B98" s="170"/>
      <c r="C98" s="7" t="s">
        <v>1</v>
      </c>
      <c r="D98" s="6">
        <f>D99/14</f>
        <v>0</v>
      </c>
      <c r="E98" s="6">
        <f>E99/39.102</f>
        <v>0</v>
      </c>
      <c r="F98" s="6">
        <f>F99/40.08</f>
        <v>0</v>
      </c>
      <c r="G98" s="6">
        <f>G99/24.312</f>
        <v>0</v>
      </c>
      <c r="H98" s="6">
        <f>H99/14</f>
        <v>0</v>
      </c>
      <c r="I98" s="6">
        <f>I99/32.064</f>
        <v>0</v>
      </c>
      <c r="J98" s="6">
        <f>J99/30.974</f>
        <v>0</v>
      </c>
      <c r="K98" s="5">
        <v>15</v>
      </c>
      <c r="L98" s="5">
        <v>10</v>
      </c>
      <c r="M98" s="5">
        <v>5</v>
      </c>
      <c r="N98" s="5">
        <v>30</v>
      </c>
      <c r="O98" s="5">
        <v>0.75</v>
      </c>
      <c r="P98" s="5">
        <v>0.5</v>
      </c>
      <c r="Q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15.75" thickBot="1">
      <c r="B99" s="4"/>
      <c r="C99" s="3" t="s">
        <v>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:3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:3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:3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:3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:3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3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3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3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3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3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</sheetData>
  <sheetProtection password="ECC5" sheet="1" objects="1" scenarios="1" selectLockedCells="1"/>
  <mergeCells count="34">
    <mergeCell ref="O4:P5"/>
    <mergeCell ref="N4:N5"/>
    <mergeCell ref="J4:M4"/>
    <mergeCell ref="C7:L7"/>
    <mergeCell ref="G2:M2"/>
    <mergeCell ref="B89:B90"/>
    <mergeCell ref="B93:B94"/>
    <mergeCell ref="C4:I4"/>
    <mergeCell ref="E60:F60"/>
    <mergeCell ref="B51:B52"/>
    <mergeCell ref="G59:I59"/>
    <mergeCell ref="B71:B72"/>
    <mergeCell ref="I17:J17"/>
    <mergeCell ref="K19:K20"/>
    <mergeCell ref="K21:K22"/>
    <mergeCell ref="C19:C20"/>
    <mergeCell ref="Q13:R13"/>
    <mergeCell ref="Q14:R14"/>
    <mergeCell ref="Q15:R15"/>
    <mergeCell ref="Q16:R16"/>
    <mergeCell ref="B33:B34"/>
    <mergeCell ref="D17:E17"/>
    <mergeCell ref="O17:O18"/>
    <mergeCell ref="L19:R22"/>
    <mergeCell ref="B97:B98"/>
    <mergeCell ref="C15:C16"/>
    <mergeCell ref="B47:B48"/>
    <mergeCell ref="B29:B30"/>
    <mergeCell ref="B76:B77"/>
    <mergeCell ref="B80:B81"/>
    <mergeCell ref="B85:B86"/>
    <mergeCell ref="B41:B42"/>
    <mergeCell ref="B61:B62"/>
    <mergeCell ref="B66:B67"/>
  </mergeCells>
  <conditionalFormatting sqref="E16">
    <cfRule type="cellIs" dxfId="7" priority="10" operator="lessThan">
      <formula>0</formula>
    </cfRule>
  </conditionalFormatting>
  <conditionalFormatting sqref="D16">
    <cfRule type="expression" dxfId="6" priority="9">
      <formula>"($D$6-$D$7)&lt;1"</formula>
    </cfRule>
  </conditionalFormatting>
  <conditionalFormatting sqref="L6 F16">
    <cfRule type="cellIs" dxfId="5" priority="8" operator="lessThan">
      <formula>0</formula>
    </cfRule>
  </conditionalFormatting>
  <conditionalFormatting sqref="G13">
    <cfRule type="cellIs" dxfId="4" priority="6" operator="greaterThan">
      <formula>$G$12+1</formula>
    </cfRule>
    <cfRule type="cellIs" dxfId="3" priority="7" operator="greaterThan">
      <formula>$G$12+1</formula>
    </cfRule>
  </conditionalFormatting>
  <conditionalFormatting sqref="H13">
    <cfRule type="expression" dxfId="2" priority="4">
      <formula>($H$13+$D$13+1)&lt;($H$12+$D$12)</formula>
    </cfRule>
    <cfRule type="expression" dxfId="1" priority="5" stopIfTrue="1">
      <formula>($D$13+$H$13-1)&gt;($H$12+$D$12)</formula>
    </cfRule>
  </conditionalFormatting>
  <conditionalFormatting sqref="I13">
    <cfRule type="cellIs" dxfId="0" priority="3" operator="greaterThan">
      <formula>150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ГИДРОПОНИКА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2018-12-26T17:03:36Z</dcterms:created>
  <dcterms:modified xsi:type="dcterms:W3CDTF">2018-12-30T19:36:36Z</dcterms:modified>
</cp:coreProperties>
</file>