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M6" i="1" s="1"/>
  <c r="C17" i="1"/>
  <c r="C18" i="1"/>
  <c r="M10" i="1" s="1"/>
  <c r="C19" i="1"/>
  <c r="C20" i="1"/>
  <c r="M14" i="1" s="1"/>
  <c r="C21" i="1"/>
  <c r="C22" i="1"/>
  <c r="M18" i="1" s="1"/>
  <c r="C23" i="1"/>
  <c r="C24" i="1"/>
  <c r="C25" i="1"/>
  <c r="C26" i="1"/>
  <c r="C15" i="1"/>
  <c r="B16" i="1"/>
  <c r="F16" i="1" s="1"/>
  <c r="T5" i="1" s="1"/>
  <c r="B17" i="1"/>
  <c r="M7" i="1" s="1"/>
  <c r="B18" i="1"/>
  <c r="B19" i="1"/>
  <c r="M11" i="1" s="1"/>
  <c r="B20" i="1"/>
  <c r="F20" i="1" s="1"/>
  <c r="T13" i="1" s="1"/>
  <c r="B21" i="1"/>
  <c r="M15" i="1" s="1"/>
  <c r="B22" i="1"/>
  <c r="B23" i="1"/>
  <c r="B24" i="1"/>
  <c r="F24" i="1" s="1"/>
  <c r="T21" i="1" s="1"/>
  <c r="B25" i="1"/>
  <c r="B26" i="1"/>
  <c r="B15" i="1"/>
  <c r="M22" i="1"/>
  <c r="M19" i="1"/>
  <c r="M13" i="1"/>
  <c r="M5" i="1"/>
  <c r="I3" i="1"/>
  <c r="I4" i="1"/>
  <c r="M21" i="1" l="1"/>
  <c r="I7" i="1"/>
  <c r="M23" i="1"/>
  <c r="F25" i="1"/>
  <c r="T23" i="1" s="1"/>
  <c r="F22" i="1"/>
  <c r="T17" i="1" s="1"/>
  <c r="M9" i="1"/>
  <c r="F18" i="1"/>
  <c r="T9" i="1" s="1"/>
  <c r="M3" i="1"/>
  <c r="F15" i="1"/>
  <c r="N4" i="1" s="1"/>
  <c r="F21" i="1"/>
  <c r="T15" i="1" s="1"/>
  <c r="N3" i="1"/>
  <c r="F23" i="1"/>
  <c r="T19" i="1" s="1"/>
  <c r="F19" i="1"/>
  <c r="T11" i="1" s="1"/>
  <c r="I5" i="1"/>
  <c r="N5" i="1" s="1"/>
  <c r="O5" i="1" s="1"/>
  <c r="M26" i="1"/>
  <c r="F26" i="1"/>
  <c r="T25" i="1" s="1"/>
  <c r="I10" i="1"/>
  <c r="I23" i="1"/>
  <c r="F17" i="1"/>
  <c r="N7" i="1" s="1"/>
  <c r="O7" i="1" s="1"/>
  <c r="I6" i="1"/>
  <c r="N6" i="1" s="1"/>
  <c r="O6" i="1" s="1"/>
  <c r="I8" i="1"/>
  <c r="M4" i="1"/>
  <c r="M12" i="1"/>
  <c r="M20" i="1"/>
  <c r="I13" i="1"/>
  <c r="N13" i="1" s="1"/>
  <c r="O13" i="1" s="1"/>
  <c r="I21" i="1"/>
  <c r="N21" i="1" s="1"/>
  <c r="O21" i="1" s="1"/>
  <c r="I17" i="1"/>
  <c r="N17" i="1" s="1"/>
  <c r="I12" i="1"/>
  <c r="N12" i="1" s="1"/>
  <c r="I25" i="1"/>
  <c r="M8" i="1"/>
  <c r="M24" i="1"/>
  <c r="M16" i="1"/>
  <c r="I16" i="1"/>
  <c r="I24" i="1"/>
  <c r="I9" i="1"/>
  <c r="I14" i="1"/>
  <c r="N14" i="1" s="1"/>
  <c r="O14" i="1" s="1"/>
  <c r="I18" i="1"/>
  <c r="I22" i="1"/>
  <c r="N22" i="1" s="1"/>
  <c r="O22" i="1" s="1"/>
  <c r="I26" i="1"/>
  <c r="M17" i="1"/>
  <c r="M25" i="1"/>
  <c r="I20" i="1"/>
  <c r="I11" i="1"/>
  <c r="N11" i="1" s="1"/>
  <c r="O11" i="1" s="1"/>
  <c r="I15" i="1"/>
  <c r="I19" i="1"/>
  <c r="N16" i="1" l="1"/>
  <c r="N15" i="1"/>
  <c r="O15" i="1" s="1"/>
  <c r="N20" i="1"/>
  <c r="O20" i="1" s="1"/>
  <c r="N19" i="1"/>
  <c r="O19" i="1" s="1"/>
  <c r="N18" i="1"/>
  <c r="O18" i="1" s="1"/>
  <c r="O3" i="1"/>
  <c r="P3" i="1" s="1"/>
  <c r="N8" i="1"/>
  <c r="O8" i="1" s="1"/>
  <c r="T3" i="1"/>
  <c r="N10" i="1"/>
  <c r="O10" i="1" s="1"/>
  <c r="O4" i="1"/>
  <c r="P4" i="1" s="1"/>
  <c r="N23" i="1"/>
  <c r="O23" i="1" s="1"/>
  <c r="N24" i="1"/>
  <c r="O24" i="1" s="1"/>
  <c r="N9" i="1"/>
  <c r="O9" i="1" s="1"/>
  <c r="N26" i="1"/>
  <c r="O26" i="1" s="1"/>
  <c r="N25" i="1"/>
  <c r="O25" i="1" s="1"/>
  <c r="T7" i="1"/>
  <c r="O17" i="1"/>
  <c r="O12" i="1"/>
  <c r="O16" i="1"/>
  <c r="R3" i="1" l="1"/>
  <c r="R5" i="1" s="1"/>
  <c r="Q3" i="1"/>
  <c r="T27" i="1"/>
  <c r="Q4" i="1"/>
  <c r="R4" i="1"/>
  <c r="Q6" i="1" s="1"/>
  <c r="P7" i="1"/>
  <c r="Q7" i="1"/>
  <c r="R7" i="1"/>
  <c r="Q5" i="1"/>
  <c r="P5" i="1" l="1"/>
  <c r="R6" i="1"/>
  <c r="Q8" i="1" s="1"/>
  <c r="P6" i="1"/>
  <c r="R9" i="1"/>
  <c r="Q9" i="1"/>
  <c r="P9" i="1"/>
  <c r="R8" i="1" l="1"/>
  <c r="Q10" i="1" s="1"/>
  <c r="P8" i="1"/>
  <c r="R10" i="1"/>
  <c r="P12" i="1" s="1"/>
  <c r="Q11" i="1"/>
  <c r="R11" i="1"/>
  <c r="P11" i="1"/>
  <c r="P10" i="1" l="1"/>
  <c r="Q12" i="1"/>
  <c r="R12" i="1"/>
  <c r="Q14" i="1" s="1"/>
  <c r="P13" i="1"/>
  <c r="R13" i="1"/>
  <c r="Q13" i="1"/>
  <c r="P14" i="1" l="1"/>
  <c r="R14" i="1"/>
  <c r="Q16" i="1" s="1"/>
  <c r="Q15" i="1"/>
  <c r="R15" i="1"/>
  <c r="P15" i="1"/>
  <c r="P16" i="1" l="1"/>
  <c r="R16" i="1"/>
  <c r="P18" i="1" s="1"/>
  <c r="P17" i="1"/>
  <c r="Q17" i="1"/>
  <c r="R17" i="1"/>
  <c r="Q18" i="1"/>
  <c r="R18" i="1" l="1"/>
  <c r="Q20" i="1" s="1"/>
  <c r="R19" i="1"/>
  <c r="P19" i="1"/>
  <c r="Q19" i="1"/>
  <c r="P20" i="1" l="1"/>
  <c r="R20" i="1"/>
  <c r="Q22" i="1" s="1"/>
  <c r="P21" i="1"/>
  <c r="Q21" i="1"/>
  <c r="R21" i="1"/>
  <c r="R22" i="1" l="1"/>
  <c r="Q24" i="1" s="1"/>
  <c r="P22" i="1"/>
  <c r="P24" i="1"/>
  <c r="R24" i="1"/>
  <c r="Q23" i="1"/>
  <c r="P23" i="1"/>
  <c r="R23" i="1"/>
  <c r="P25" i="1" l="1"/>
  <c r="R25" i="1"/>
  <c r="Q25" i="1"/>
  <c r="P26" i="1"/>
  <c r="Q26" i="1"/>
  <c r="R26" i="1"/>
  <c r="Q27" i="1" l="1"/>
</calcChain>
</file>

<file path=xl/sharedStrings.xml><?xml version="1.0" encoding="utf-8"?>
<sst xmlns="http://schemas.openxmlformats.org/spreadsheetml/2006/main" count="47" uniqueCount="25">
  <si>
    <t>продукція</t>
  </si>
  <si>
    <t>питома</t>
  </si>
  <si>
    <t>зернові, грн</t>
  </si>
  <si>
    <t>інші, грн</t>
  </si>
  <si>
    <t>Обсяг продажу</t>
  </si>
  <si>
    <t>Податковий кредит</t>
  </si>
  <si>
    <t>ПЗ</t>
  </si>
  <si>
    <t>ПК</t>
  </si>
  <si>
    <t xml:space="preserve">інші </t>
  </si>
  <si>
    <t>Різниця (ПЗ-ПК)</t>
  </si>
  <si>
    <t>бюджет, грн</t>
  </si>
  <si>
    <t>ПК наступний період</t>
  </si>
  <si>
    <t>рах,%</t>
  </si>
  <si>
    <t>бюдж,%</t>
  </si>
  <si>
    <t xml:space="preserve">зернові/технічні </t>
  </si>
  <si>
    <t>рах, грн</t>
  </si>
  <si>
    <t>Заг режим  ПДВ(+/-)</t>
  </si>
  <si>
    <t>ПДВ В БЮДЖЕТ ЗАГ СИСТЕМА</t>
  </si>
  <si>
    <t>ПДВ В БЮДЖЕТ СПЕЦ РЕЖИМ</t>
  </si>
  <si>
    <t>зернові, %</t>
  </si>
  <si>
    <t>інші (соя, послуги), %</t>
  </si>
  <si>
    <t>Збільшення продажів у 2016 р.</t>
  </si>
  <si>
    <t>% від ПЗ</t>
  </si>
  <si>
    <t>Умовно ПК</t>
  </si>
  <si>
    <t>Цифрами червоного кольору можна варіювати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</si>
</sst>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1" xfId="0" applyBorder="1"/>
    <xf numFmtId="0" fontId="0" fillId="0" borderId="5" xfId="0" applyBorder="1"/>
    <xf numFmtId="17" fontId="0" fillId="0" borderId="4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7" fontId="0" fillId="2" borderId="4" xfId="0" applyNumberFormat="1" applyFill="1" applyBorder="1"/>
    <xf numFmtId="164" fontId="0" fillId="2" borderId="1" xfId="0" applyNumberFormat="1" applyFill="1" applyBorder="1"/>
    <xf numFmtId="164" fontId="0" fillId="2" borderId="0" xfId="0" applyNumberFormat="1" applyFill="1" applyBorder="1"/>
    <xf numFmtId="0" fontId="0" fillId="2" borderId="5" xfId="0" applyFill="1" applyBorder="1"/>
    <xf numFmtId="17" fontId="0" fillId="2" borderId="6" xfId="0" applyNumberFormat="1" applyFill="1" applyBorder="1"/>
    <xf numFmtId="17" fontId="0" fillId="0" borderId="0" xfId="0" applyNumberFormat="1" applyBorder="1" applyAlignment="1">
      <alignment horizontal="center"/>
    </xf>
    <xf numFmtId="0" fontId="0" fillId="2" borderId="0" xfId="0" applyFill="1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2" fontId="0" fillId="3" borderId="0" xfId="0" applyNumberFormat="1" applyFill="1"/>
    <xf numFmtId="0" fontId="0" fillId="0" borderId="13" xfId="0" applyBorder="1"/>
    <xf numFmtId="0" fontId="0" fillId="0" borderId="12" xfId="0" applyBorder="1"/>
    <xf numFmtId="1" fontId="0" fillId="3" borderId="0" xfId="0" applyNumberFormat="1" applyFill="1"/>
    <xf numFmtId="0" fontId="1" fillId="0" borderId="0" xfId="0" applyFont="1"/>
    <xf numFmtId="17" fontId="0" fillId="0" borderId="14" xfId="0" applyNumberFormat="1" applyBorder="1" applyAlignment="1"/>
    <xf numFmtId="17" fontId="0" fillId="0" borderId="15" xfId="0" applyNumberFormat="1" applyBorder="1" applyAlignment="1"/>
    <xf numFmtId="17" fontId="0" fillId="2" borderId="0" xfId="0" applyNumberFormat="1" applyFill="1"/>
    <xf numFmtId="0" fontId="0" fillId="2" borderId="0" xfId="0" applyFill="1"/>
    <xf numFmtId="0" fontId="3" fillId="0" borderId="0" xfId="0" applyFont="1"/>
    <xf numFmtId="0" fontId="3" fillId="0" borderId="1" xfId="0" applyFont="1" applyBorder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5" xfId="0" applyNumberFormat="1" applyFont="1" applyBorder="1"/>
    <xf numFmtId="0" fontId="2" fillId="0" borderId="0" xfId="0" applyFont="1"/>
    <xf numFmtId="0" fontId="5" fillId="0" borderId="0" xfId="0" applyFont="1"/>
    <xf numFmtId="1" fontId="0" fillId="0" borderId="18" xfId="0" applyNumberFormat="1" applyBorder="1" applyAlignment="1">
      <alignment horizontal="left" vertical="center"/>
    </xf>
    <xf numFmtId="2" fontId="0" fillId="0" borderId="7" xfId="0" applyNumberFormat="1" applyBorder="1"/>
    <xf numFmtId="0" fontId="0" fillId="2" borderId="19" xfId="0" applyFill="1" applyBorder="1"/>
    <xf numFmtId="0" fontId="0" fillId="0" borderId="2" xfId="0" applyBorder="1"/>
    <xf numFmtId="46" fontId="0" fillId="0" borderId="2" xfId="0" applyNumberFormat="1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2" fontId="0" fillId="0" borderId="2" xfId="0" applyNumberFormat="1" applyBorder="1"/>
    <xf numFmtId="2" fontId="0" fillId="0" borderId="3" xfId="0" applyNumberFormat="1" applyBorder="1"/>
    <xf numFmtId="0" fontId="0" fillId="0" borderId="18" xfId="0" applyBorder="1"/>
    <xf numFmtId="0" fontId="0" fillId="0" borderId="18" xfId="0" applyBorder="1" applyAlignment="1">
      <alignment horizontal="left" vertical="center"/>
    </xf>
    <xf numFmtId="2" fontId="0" fillId="0" borderId="18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2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A21" workbookViewId="0">
      <selection activeCell="H32" sqref="H32"/>
    </sheetView>
  </sheetViews>
  <sheetFormatPr defaultRowHeight="15" x14ac:dyDescent="0.25"/>
  <cols>
    <col min="2" max="2" width="12" bestFit="1" customWidth="1"/>
    <col min="3" max="3" width="11.85546875" bestFit="1" customWidth="1"/>
    <col min="4" max="4" width="19" customWidth="1"/>
    <col min="5" max="5" width="11.140625" customWidth="1"/>
    <col min="7" max="7" width="14.140625" customWidth="1"/>
    <col min="8" max="8" width="11.5703125" customWidth="1"/>
    <col min="9" max="9" width="12" bestFit="1" customWidth="1"/>
    <col min="10" max="10" width="23.42578125" bestFit="1" customWidth="1"/>
    <col min="11" max="11" width="9.5703125" customWidth="1"/>
    <col min="12" max="12" width="8.42578125" customWidth="1"/>
    <col min="13" max="14" width="9.5703125" bestFit="1" customWidth="1"/>
    <col min="15" max="15" width="18.28515625" customWidth="1"/>
    <col min="16" max="16" width="13" customWidth="1"/>
    <col min="17" max="17" width="15.5703125" customWidth="1"/>
    <col min="18" max="18" width="20.42578125" customWidth="1"/>
    <col min="19" max="19" width="10.85546875" bestFit="1" customWidth="1"/>
    <col min="20" max="20" width="19.5703125" bestFit="1" customWidth="1"/>
  </cols>
  <sheetData>
    <row r="1" spans="1:20" x14ac:dyDescent="0.25">
      <c r="A1" s="53"/>
      <c r="B1" s="51" t="s">
        <v>4</v>
      </c>
      <c r="C1" s="52"/>
      <c r="D1" s="7"/>
      <c r="T1" s="17" t="s">
        <v>16</v>
      </c>
    </row>
    <row r="2" spans="1:20" ht="15.75" thickBot="1" x14ac:dyDescent="0.3">
      <c r="A2" s="54"/>
      <c r="B2" s="4" t="s">
        <v>2</v>
      </c>
      <c r="C2" s="5" t="s">
        <v>3</v>
      </c>
      <c r="D2" s="8"/>
      <c r="I2" t="s">
        <v>1</v>
      </c>
      <c r="J2" s="2" t="s">
        <v>0</v>
      </c>
      <c r="K2" s="2" t="s">
        <v>12</v>
      </c>
      <c r="L2" s="2" t="s">
        <v>13</v>
      </c>
      <c r="M2" s="1" t="s">
        <v>6</v>
      </c>
      <c r="N2" s="1" t="s">
        <v>7</v>
      </c>
      <c r="O2" s="2" t="s">
        <v>9</v>
      </c>
      <c r="P2" s="1" t="s">
        <v>15</v>
      </c>
      <c r="Q2" s="1" t="s">
        <v>10</v>
      </c>
      <c r="R2" s="1" t="s">
        <v>11</v>
      </c>
      <c r="T2" s="18"/>
    </row>
    <row r="3" spans="1:20" x14ac:dyDescent="0.25">
      <c r="A3" s="6">
        <v>42005</v>
      </c>
      <c r="B3" s="32">
        <v>120000</v>
      </c>
      <c r="C3" s="33">
        <v>20000</v>
      </c>
      <c r="D3" s="9"/>
      <c r="E3" s="3"/>
      <c r="H3" s="55">
        <v>42370</v>
      </c>
      <c r="I3" s="39">
        <f>SUM(B3:B14)/(SUM(B3:B14)+SUM(C3:C14))</f>
        <v>0.63315022689276335</v>
      </c>
      <c r="J3" s="40" t="s">
        <v>14</v>
      </c>
      <c r="K3" s="41">
        <v>15</v>
      </c>
      <c r="L3" s="41">
        <v>85</v>
      </c>
      <c r="M3" s="42">
        <f>B15/6</f>
        <v>26000</v>
      </c>
      <c r="N3" s="42">
        <f>F15*I3</f>
        <v>15876.241939336041</v>
      </c>
      <c r="O3" s="42">
        <f t="shared" ref="O3:O26" si="0">M3-N3</f>
        <v>10123.758060663959</v>
      </c>
      <c r="P3" s="41">
        <f>IF(O3&gt;0,O3*(K3/100),0)</f>
        <v>1518.5637090995938</v>
      </c>
      <c r="Q3" s="41">
        <f>IF(O3&gt;0,O3*(L3/100),0)</f>
        <v>8605.1943515643652</v>
      </c>
      <c r="R3" s="43">
        <f>IF(O3&gt;0,0,O3)</f>
        <v>0</v>
      </c>
      <c r="S3" s="20"/>
      <c r="T3" s="57">
        <f>SUM(B15,C15)/6-F15</f>
        <v>4425</v>
      </c>
    </row>
    <row r="4" spans="1:20" ht="15.75" thickBot="1" x14ac:dyDescent="0.3">
      <c r="A4" s="6">
        <v>42036</v>
      </c>
      <c r="B4" s="32">
        <v>40000</v>
      </c>
      <c r="C4" s="33"/>
      <c r="D4" s="9"/>
      <c r="E4" s="3"/>
      <c r="H4" s="56"/>
      <c r="I4" s="44">
        <f>SUM(C3:C14)/(SUM(B3:B14)+SUM(C3:C14))</f>
        <v>0.36684977310723671</v>
      </c>
      <c r="J4" s="45" t="s">
        <v>8</v>
      </c>
      <c r="K4" s="36">
        <v>50</v>
      </c>
      <c r="L4" s="36">
        <v>50</v>
      </c>
      <c r="M4" s="46">
        <f>C15/6</f>
        <v>3500</v>
      </c>
      <c r="N4" s="46">
        <f>F15*I4</f>
        <v>9198.7580606639604</v>
      </c>
      <c r="O4" s="46">
        <f t="shared" si="0"/>
        <v>-5698.7580606639604</v>
      </c>
      <c r="P4" s="36">
        <f>IF(O4&gt;0,O4*(K4/100),0)</f>
        <v>0</v>
      </c>
      <c r="Q4" s="36">
        <f>IF(O4&gt;0,O4*(L4/100),0)</f>
        <v>0</v>
      </c>
      <c r="R4" s="37">
        <f>IF(O4&gt;0,0,O4)</f>
        <v>-5698.7580606639604</v>
      </c>
      <c r="S4" s="21"/>
      <c r="T4" s="58"/>
    </row>
    <row r="5" spans="1:20" x14ac:dyDescent="0.25">
      <c r="A5" s="6">
        <v>42064</v>
      </c>
      <c r="B5" s="32">
        <v>600000</v>
      </c>
      <c r="C5" s="33">
        <v>2000</v>
      </c>
      <c r="D5" s="9"/>
      <c r="E5" s="3"/>
      <c r="H5" s="55">
        <v>42401</v>
      </c>
      <c r="I5" s="39">
        <f>SUM(B4:B15)/(SUM(B4:B15)+SUM(C4:C15))</f>
        <v>0.63464510759719417</v>
      </c>
      <c r="J5" s="40" t="s">
        <v>14</v>
      </c>
      <c r="K5" s="41">
        <v>15</v>
      </c>
      <c r="L5" s="41">
        <v>85</v>
      </c>
      <c r="M5" s="42">
        <f>B16/6</f>
        <v>8666.6666666666661</v>
      </c>
      <c r="N5" s="42">
        <f>F16*I5</f>
        <v>4675.21895929933</v>
      </c>
      <c r="O5" s="42">
        <f t="shared" si="0"/>
        <v>3991.4477073673361</v>
      </c>
      <c r="P5" s="41">
        <f>IF((O5+R3)&gt;0,(O5+R3)*(K5/100),0)</f>
        <v>598.71715610510034</v>
      </c>
      <c r="Q5" s="41">
        <f>IF((O5+R3)&gt;0,(O5+R3)*(L5/100),0)</f>
        <v>3392.7305512622356</v>
      </c>
      <c r="R5" s="43">
        <f>IF((O5+R3)&gt;0,0,(O5+R3))</f>
        <v>0</v>
      </c>
      <c r="S5" s="20"/>
      <c r="T5" s="57">
        <f>SUM(B16,C16)/6-F16</f>
        <v>1300</v>
      </c>
    </row>
    <row r="6" spans="1:20" ht="15.75" thickBot="1" x14ac:dyDescent="0.3">
      <c r="A6" s="6">
        <v>42095</v>
      </c>
      <c r="B6" s="32">
        <v>12000</v>
      </c>
      <c r="C6" s="33"/>
      <c r="D6" s="9"/>
      <c r="E6" s="3"/>
      <c r="H6" s="56"/>
      <c r="I6" s="44">
        <f>SUM(C4:C15)/(SUM(B4:B15)+SUM(C4:C15))</f>
        <v>0.36535489240280583</v>
      </c>
      <c r="J6" s="45" t="s">
        <v>8</v>
      </c>
      <c r="K6" s="36">
        <v>50</v>
      </c>
      <c r="L6" s="36">
        <v>50</v>
      </c>
      <c r="M6" s="46">
        <f>C16/6</f>
        <v>0</v>
      </c>
      <c r="N6" s="46">
        <f>F16*I6</f>
        <v>2691.4477073673361</v>
      </c>
      <c r="O6" s="46">
        <f t="shared" si="0"/>
        <v>-2691.4477073673361</v>
      </c>
      <c r="P6" s="36">
        <f t="shared" ref="P6:P25" si="1">IF((O6+R4)&gt;0,(O6+R4)*(K6/100),0)</f>
        <v>0</v>
      </c>
      <c r="Q6" s="36">
        <f t="shared" ref="Q6:Q26" si="2">IF((O6+R4)&gt;0,(O6+R4)*(L6/100),0)</f>
        <v>0</v>
      </c>
      <c r="R6" s="37">
        <f t="shared" ref="R6:R26" si="3">IF((O6+R4)&gt;0,0,(O6+R4))</f>
        <v>-8390.2057680312973</v>
      </c>
      <c r="S6" s="21"/>
      <c r="T6" s="58"/>
    </row>
    <row r="7" spans="1:20" x14ac:dyDescent="0.25">
      <c r="A7" s="6">
        <v>42125</v>
      </c>
      <c r="B7" s="32">
        <v>520000</v>
      </c>
      <c r="C7" s="33">
        <v>100000</v>
      </c>
      <c r="D7" s="9"/>
      <c r="E7" s="3"/>
      <c r="H7" s="55">
        <v>42430</v>
      </c>
      <c r="I7" s="39">
        <f>SUM(B5:B16)/(SUM(B5:B16)+SUM(C5:C16))</f>
        <v>0.63516561795084892</v>
      </c>
      <c r="J7" s="40" t="s">
        <v>14</v>
      </c>
      <c r="K7" s="41">
        <v>15</v>
      </c>
      <c r="L7" s="41">
        <v>85</v>
      </c>
      <c r="M7" s="42">
        <f>B17/6</f>
        <v>130000</v>
      </c>
      <c r="N7" s="42">
        <f>F17*I7</f>
        <v>70374.76255490919</v>
      </c>
      <c r="O7" s="42">
        <f t="shared" si="0"/>
        <v>59625.23744509081</v>
      </c>
      <c r="P7" s="41">
        <f t="shared" si="1"/>
        <v>8943.7856167636219</v>
      </c>
      <c r="Q7" s="41">
        <f t="shared" si="2"/>
        <v>50681.45182832719</v>
      </c>
      <c r="R7" s="43">
        <f t="shared" si="3"/>
        <v>0</v>
      </c>
      <c r="S7" s="20"/>
      <c r="T7" s="57">
        <f>SUM(B17,C17)/6-F17</f>
        <v>19552.5</v>
      </c>
    </row>
    <row r="8" spans="1:20" ht="15.75" thickBot="1" x14ac:dyDescent="0.3">
      <c r="A8" s="6">
        <v>42156</v>
      </c>
      <c r="B8" s="32">
        <v>1250000</v>
      </c>
      <c r="C8" s="33"/>
      <c r="D8" s="9"/>
      <c r="E8" s="3"/>
      <c r="H8" s="56"/>
      <c r="I8" s="44">
        <f>SUM(C5:C16)/(SUM(B5:B16)+SUM(C5:C16))</f>
        <v>0.36483438204915114</v>
      </c>
      <c r="J8" s="45" t="s">
        <v>8</v>
      </c>
      <c r="K8" s="36">
        <v>50</v>
      </c>
      <c r="L8" s="36">
        <v>50</v>
      </c>
      <c r="M8" s="46">
        <f>C17/6</f>
        <v>350</v>
      </c>
      <c r="N8" s="46">
        <f>F17*I8</f>
        <v>40422.737445090825</v>
      </c>
      <c r="O8" s="46">
        <f t="shared" si="0"/>
        <v>-40072.737445090825</v>
      </c>
      <c r="P8" s="36">
        <f t="shared" si="1"/>
        <v>0</v>
      </c>
      <c r="Q8" s="36">
        <f t="shared" si="2"/>
        <v>0</v>
      </c>
      <c r="R8" s="37">
        <f t="shared" si="3"/>
        <v>-48462.943213122126</v>
      </c>
      <c r="S8" s="21"/>
      <c r="T8" s="58"/>
    </row>
    <row r="9" spans="1:20" x14ac:dyDescent="0.25">
      <c r="A9" s="6">
        <v>42186</v>
      </c>
      <c r="B9" s="32">
        <v>50000</v>
      </c>
      <c r="C9" s="33">
        <v>50000</v>
      </c>
      <c r="D9" s="9"/>
      <c r="E9" s="3"/>
      <c r="H9" s="55">
        <v>42461</v>
      </c>
      <c r="I9" s="39">
        <f>SUM(B6:B17)/(SUM(B6:B17)+SUM(C6:C17))</f>
        <v>0.64279155188246095</v>
      </c>
      <c r="J9" s="40" t="s">
        <v>14</v>
      </c>
      <c r="K9" s="41">
        <v>15</v>
      </c>
      <c r="L9" s="41">
        <v>85</v>
      </c>
      <c r="M9" s="42">
        <f>B18/6</f>
        <v>2600</v>
      </c>
      <c r="N9" s="42">
        <f>F18*I9</f>
        <v>1420.5693296602387</v>
      </c>
      <c r="O9" s="42">
        <f t="shared" si="0"/>
        <v>1179.4306703397613</v>
      </c>
      <c r="P9" s="41">
        <f t="shared" si="1"/>
        <v>176.9146005509642</v>
      </c>
      <c r="Q9" s="41">
        <f t="shared" si="2"/>
        <v>1002.516069788797</v>
      </c>
      <c r="R9" s="43">
        <f t="shared" si="3"/>
        <v>0</v>
      </c>
      <c r="S9" s="20"/>
      <c r="T9" s="57">
        <f>SUM(B18,C18)/6-F18</f>
        <v>390</v>
      </c>
    </row>
    <row r="10" spans="1:20" ht="15.75" thickBot="1" x14ac:dyDescent="0.3">
      <c r="A10" s="6">
        <v>42217</v>
      </c>
      <c r="B10" s="32">
        <v>80000</v>
      </c>
      <c r="C10" s="33"/>
      <c r="D10" s="9"/>
      <c r="E10" s="3"/>
      <c r="H10" s="56"/>
      <c r="I10" s="44">
        <f>SUM(C6:C17)/(SUM(B6:B17)+SUM(C6:C17))</f>
        <v>0.35720844811753905</v>
      </c>
      <c r="J10" s="45" t="s">
        <v>8</v>
      </c>
      <c r="K10" s="36">
        <v>50</v>
      </c>
      <c r="L10" s="36">
        <v>50</v>
      </c>
      <c r="M10" s="46">
        <f>C18/6</f>
        <v>0</v>
      </c>
      <c r="N10" s="46">
        <f>F18*I10</f>
        <v>789.43067033976126</v>
      </c>
      <c r="O10" s="46">
        <f t="shared" si="0"/>
        <v>-789.43067033976126</v>
      </c>
      <c r="P10" s="36">
        <f t="shared" si="1"/>
        <v>0</v>
      </c>
      <c r="Q10" s="36">
        <f t="shared" si="2"/>
        <v>0</v>
      </c>
      <c r="R10" s="37">
        <f t="shared" si="3"/>
        <v>-49252.373883461885</v>
      </c>
      <c r="S10" s="21"/>
      <c r="T10" s="58"/>
    </row>
    <row r="11" spans="1:20" x14ac:dyDescent="0.25">
      <c r="A11" s="6">
        <v>42248</v>
      </c>
      <c r="B11" s="32">
        <v>130000</v>
      </c>
      <c r="C11" s="33">
        <v>1000000</v>
      </c>
      <c r="D11" s="9"/>
      <c r="E11" s="3"/>
      <c r="H11" s="55">
        <v>42491</v>
      </c>
      <c r="I11" s="39">
        <f>SUM(B7:B18)/(SUM(B7:B18)+SUM(C7:C18))</f>
        <v>0.64294096459734862</v>
      </c>
      <c r="J11" s="40" t="s">
        <v>14</v>
      </c>
      <c r="K11" s="41">
        <v>15</v>
      </c>
      <c r="L11" s="41">
        <v>85</v>
      </c>
      <c r="M11" s="42">
        <f>B19/6</f>
        <v>112666.66666666667</v>
      </c>
      <c r="N11" s="42">
        <f>F19*I11</f>
        <v>71136.059891324985</v>
      </c>
      <c r="O11" s="42">
        <f t="shared" si="0"/>
        <v>41530.606775341686</v>
      </c>
      <c r="P11" s="41">
        <f t="shared" si="1"/>
        <v>6229.5910163012531</v>
      </c>
      <c r="Q11" s="41">
        <f t="shared" si="2"/>
        <v>35301.015759040434</v>
      </c>
      <c r="R11" s="43">
        <f t="shared" si="3"/>
        <v>0</v>
      </c>
      <c r="S11" s="20"/>
      <c r="T11" s="57">
        <f>SUM(B19,C19)/6-F19</f>
        <v>19525</v>
      </c>
    </row>
    <row r="12" spans="1:20" ht="15.75" thickBot="1" x14ac:dyDescent="0.3">
      <c r="A12" s="6">
        <v>42278</v>
      </c>
      <c r="B12" s="32">
        <v>2150000</v>
      </c>
      <c r="C12" s="33"/>
      <c r="D12" s="9"/>
      <c r="E12" s="26" t="s">
        <v>23</v>
      </c>
      <c r="F12" s="30">
        <v>85</v>
      </c>
      <c r="G12" s="27" t="s">
        <v>22</v>
      </c>
      <c r="H12" s="56"/>
      <c r="I12" s="44">
        <f>SUM(C7:C18)/(SUM(B7:B18)+SUM(C7:C18))</f>
        <v>0.35705903540265144</v>
      </c>
      <c r="J12" s="45" t="s">
        <v>8</v>
      </c>
      <c r="K12" s="36">
        <v>50</v>
      </c>
      <c r="L12" s="36">
        <v>50</v>
      </c>
      <c r="M12" s="46">
        <f>C19/6</f>
        <v>17500</v>
      </c>
      <c r="N12" s="46">
        <f>F19*I12</f>
        <v>39505.606775341694</v>
      </c>
      <c r="O12" s="46">
        <f t="shared" si="0"/>
        <v>-22005.606775341694</v>
      </c>
      <c r="P12" s="36">
        <f t="shared" si="1"/>
        <v>0</v>
      </c>
      <c r="Q12" s="36">
        <f t="shared" si="2"/>
        <v>0</v>
      </c>
      <c r="R12" s="37">
        <f t="shared" si="3"/>
        <v>-71257.980658803572</v>
      </c>
      <c r="S12" s="21"/>
      <c r="T12" s="58"/>
    </row>
    <row r="13" spans="1:20" ht="15.75" thickBot="1" x14ac:dyDescent="0.3">
      <c r="A13" s="6">
        <v>42309</v>
      </c>
      <c r="B13" s="32">
        <v>150000</v>
      </c>
      <c r="C13" s="33">
        <v>1500000</v>
      </c>
      <c r="D13" s="9"/>
      <c r="E13" s="3"/>
      <c r="H13" s="55">
        <v>42522</v>
      </c>
      <c r="I13" s="39">
        <f>SUM(B8:B19)/(SUM(B8:B19)+SUM(C8:C19))</f>
        <v>0.6489273127502081</v>
      </c>
      <c r="J13" s="40" t="s">
        <v>14</v>
      </c>
      <c r="K13" s="41">
        <v>15</v>
      </c>
      <c r="L13" s="41">
        <v>85</v>
      </c>
      <c r="M13" s="42">
        <f>B20/6</f>
        <v>270833.33333333331</v>
      </c>
      <c r="N13" s="42">
        <f>F20*I13</f>
        <v>149388.47512270414</v>
      </c>
      <c r="O13" s="42">
        <f t="shared" si="0"/>
        <v>121444.85821062917</v>
      </c>
      <c r="P13" s="41">
        <f t="shared" si="1"/>
        <v>18216.728731594376</v>
      </c>
      <c r="Q13" s="41">
        <f t="shared" si="2"/>
        <v>103228.12947903479</v>
      </c>
      <c r="R13" s="43">
        <f t="shared" si="3"/>
        <v>0</v>
      </c>
      <c r="S13" s="20"/>
      <c r="T13" s="57">
        <f>SUM(B20,C20)/6-F20</f>
        <v>40625</v>
      </c>
    </row>
    <row r="14" spans="1:20" ht="15.75" thickBot="1" x14ac:dyDescent="0.3">
      <c r="A14" s="6">
        <v>42339</v>
      </c>
      <c r="B14" s="32">
        <v>200000</v>
      </c>
      <c r="C14" s="33">
        <v>400000</v>
      </c>
      <c r="D14" s="9"/>
      <c r="E14" s="24" t="s">
        <v>5</v>
      </c>
      <c r="F14" s="25"/>
      <c r="G14" s="15"/>
      <c r="H14" s="56"/>
      <c r="I14" s="44">
        <f>SUM(C8:C19)/(SUM(B8:B19)+SUM(C8:C19))</f>
        <v>0.35107268724979185</v>
      </c>
      <c r="J14" s="45" t="s">
        <v>8</v>
      </c>
      <c r="K14" s="36">
        <v>50</v>
      </c>
      <c r="L14" s="36">
        <v>50</v>
      </c>
      <c r="M14" s="46">
        <f>C20/6</f>
        <v>0</v>
      </c>
      <c r="N14" s="46">
        <f>F20*I14</f>
        <v>80819.858210629158</v>
      </c>
      <c r="O14" s="46">
        <f t="shared" si="0"/>
        <v>-80819.858210629158</v>
      </c>
      <c r="P14" s="36">
        <f t="shared" si="1"/>
        <v>0</v>
      </c>
      <c r="Q14" s="36">
        <f t="shared" si="2"/>
        <v>0</v>
      </c>
      <c r="R14" s="37">
        <f t="shared" si="3"/>
        <v>-152077.83886943274</v>
      </c>
      <c r="S14" s="21"/>
      <c r="T14" s="58"/>
    </row>
    <row r="15" spans="1:20" x14ac:dyDescent="0.25">
      <c r="A15" s="10">
        <v>42370</v>
      </c>
      <c r="B15" s="11">
        <f>B3*((100+$D$31)/100)</f>
        <v>156000</v>
      </c>
      <c r="C15" s="11">
        <f>C3*((100+$D$33)/100)</f>
        <v>21000</v>
      </c>
      <c r="D15" s="12"/>
      <c r="E15" s="10">
        <v>42370</v>
      </c>
      <c r="F15" s="13">
        <f>((SUM(B15:C15)))/6*($F$12/100)</f>
        <v>25075</v>
      </c>
      <c r="G15" s="16"/>
      <c r="H15" s="55">
        <v>42552</v>
      </c>
      <c r="I15" s="39">
        <f>SUM(B9:B20)/(SUM(B9:B20)+SUM(C9:C20))</f>
        <v>0.66332702593325821</v>
      </c>
      <c r="J15" s="40" t="s">
        <v>14</v>
      </c>
      <c r="K15" s="41">
        <v>15</v>
      </c>
      <c r="L15" s="41">
        <v>85</v>
      </c>
      <c r="M15" s="42">
        <f>B21/6</f>
        <v>10833.333333333334</v>
      </c>
      <c r="N15" s="42">
        <f>F21*I15</f>
        <v>11041.631119180693</v>
      </c>
      <c r="O15" s="42">
        <f t="shared" si="0"/>
        <v>-208.29778584735868</v>
      </c>
      <c r="P15" s="41">
        <f t="shared" si="1"/>
        <v>0</v>
      </c>
      <c r="Q15" s="41">
        <f t="shared" si="2"/>
        <v>0</v>
      </c>
      <c r="R15" s="43">
        <f t="shared" si="3"/>
        <v>-208.29778584735868</v>
      </c>
      <c r="S15" s="20"/>
      <c r="T15" s="57">
        <f>SUM(B21,C21)/6-F21</f>
        <v>2937.5</v>
      </c>
    </row>
    <row r="16" spans="1:20" ht="15.75" thickBot="1" x14ac:dyDescent="0.3">
      <c r="A16" s="10">
        <v>42401</v>
      </c>
      <c r="B16" s="11">
        <f t="shared" ref="B16:B26" si="4">B4*((100+$D$31)/100)</f>
        <v>52000</v>
      </c>
      <c r="C16" s="11">
        <f t="shared" ref="C16:C26" si="5">C4*((100+$D$33)/100)</f>
        <v>0</v>
      </c>
      <c r="D16" s="12"/>
      <c r="E16" s="10">
        <v>42401</v>
      </c>
      <c r="F16" s="13">
        <f t="shared" ref="F16:F25" si="6">((SUM(B16:C16)))/6*($F$12/100)</f>
        <v>7366.6666666666661</v>
      </c>
      <c r="G16" s="16"/>
      <c r="H16" s="56"/>
      <c r="I16" s="44">
        <f>SUM(C9:C20)/(SUM(B9:B20)+SUM(C9:C20))</f>
        <v>0.33667297406674179</v>
      </c>
      <c r="J16" s="45" t="s">
        <v>8</v>
      </c>
      <c r="K16" s="36">
        <v>50</v>
      </c>
      <c r="L16" s="36">
        <v>50</v>
      </c>
      <c r="M16" s="46">
        <f>C21/6</f>
        <v>8750</v>
      </c>
      <c r="N16" s="46">
        <f>F21*I16</f>
        <v>5604.2022141526386</v>
      </c>
      <c r="O16" s="46">
        <f t="shared" si="0"/>
        <v>3145.7977858473614</v>
      </c>
      <c r="P16" s="36">
        <f t="shared" si="1"/>
        <v>0</v>
      </c>
      <c r="Q16" s="36">
        <f t="shared" si="2"/>
        <v>0</v>
      </c>
      <c r="R16" s="37">
        <f t="shared" si="3"/>
        <v>-148932.04108358538</v>
      </c>
      <c r="S16" s="21"/>
      <c r="T16" s="58"/>
    </row>
    <row r="17" spans="1:20" x14ac:dyDescent="0.25">
      <c r="A17" s="10">
        <v>42430</v>
      </c>
      <c r="B17" s="11">
        <f t="shared" si="4"/>
        <v>780000</v>
      </c>
      <c r="C17" s="11">
        <f t="shared" si="5"/>
        <v>2100</v>
      </c>
      <c r="D17" s="12"/>
      <c r="E17" s="10">
        <v>42430</v>
      </c>
      <c r="F17" s="13">
        <f t="shared" si="6"/>
        <v>110797.5</v>
      </c>
      <c r="G17" s="16"/>
      <c r="H17" s="55">
        <v>42583</v>
      </c>
      <c r="I17" s="39">
        <f>SUM(B10:B21)/(SUM(B10:B21)+SUM(C10:C21))</f>
        <v>0.66369729918560727</v>
      </c>
      <c r="J17" s="40" t="s">
        <v>14</v>
      </c>
      <c r="K17" s="41">
        <v>15</v>
      </c>
      <c r="L17" s="41">
        <v>85</v>
      </c>
      <c r="M17" s="42">
        <f>B22/6</f>
        <v>17333.333333333332</v>
      </c>
      <c r="N17" s="42">
        <f>F22*I17</f>
        <v>9778.4735413346134</v>
      </c>
      <c r="O17" s="42">
        <f t="shared" si="0"/>
        <v>7554.8597919987187</v>
      </c>
      <c r="P17" s="41">
        <f t="shared" si="1"/>
        <v>1101.9843009227041</v>
      </c>
      <c r="Q17" s="41">
        <f t="shared" si="2"/>
        <v>6244.5777052286558</v>
      </c>
      <c r="R17" s="43">
        <f t="shared" si="3"/>
        <v>0</v>
      </c>
      <c r="S17" s="20"/>
      <c r="T17" s="57">
        <f>SUM(B22,C22)/6-F22</f>
        <v>2600</v>
      </c>
    </row>
    <row r="18" spans="1:20" ht="15.75" thickBot="1" x14ac:dyDescent="0.3">
      <c r="A18" s="10">
        <v>42461</v>
      </c>
      <c r="B18" s="11">
        <f t="shared" si="4"/>
        <v>15600</v>
      </c>
      <c r="C18" s="11">
        <f t="shared" si="5"/>
        <v>0</v>
      </c>
      <c r="D18" s="12"/>
      <c r="E18" s="10">
        <v>42461</v>
      </c>
      <c r="F18" s="13">
        <f t="shared" si="6"/>
        <v>2210</v>
      </c>
      <c r="G18" s="16"/>
      <c r="H18" s="56"/>
      <c r="I18" s="44">
        <f>SUM(C10:C21)/(SUM(B10:B21)+SUM(C10:C21))</f>
        <v>0.33630270081439267</v>
      </c>
      <c r="J18" s="45" t="s">
        <v>8</v>
      </c>
      <c r="K18" s="36">
        <v>50</v>
      </c>
      <c r="L18" s="36">
        <v>50</v>
      </c>
      <c r="M18" s="46">
        <f>C22/6</f>
        <v>0</v>
      </c>
      <c r="N18" s="46">
        <f>F22*I18</f>
        <v>4954.8597919987187</v>
      </c>
      <c r="O18" s="46">
        <f t="shared" si="0"/>
        <v>-4954.8597919987187</v>
      </c>
      <c r="P18" s="36">
        <f t="shared" si="1"/>
        <v>0</v>
      </c>
      <c r="Q18" s="36">
        <f t="shared" si="2"/>
        <v>0</v>
      </c>
      <c r="R18" s="37">
        <f t="shared" si="3"/>
        <v>-153886.90087558411</v>
      </c>
      <c r="S18" s="21"/>
      <c r="T18" s="58"/>
    </row>
    <row r="19" spans="1:20" x14ac:dyDescent="0.25">
      <c r="A19" s="10">
        <v>42491</v>
      </c>
      <c r="B19" s="11">
        <f t="shared" si="4"/>
        <v>676000</v>
      </c>
      <c r="C19" s="11">
        <f t="shared" si="5"/>
        <v>105000</v>
      </c>
      <c r="D19" s="12"/>
      <c r="E19" s="10">
        <v>42491</v>
      </c>
      <c r="F19" s="13">
        <f t="shared" si="6"/>
        <v>110641.66666666667</v>
      </c>
      <c r="G19" s="16"/>
      <c r="H19" s="55">
        <v>42614</v>
      </c>
      <c r="I19" s="39">
        <f>SUM(B11:B22)/(SUM(B11:B22)+SUM(C11:C22))</f>
        <v>0.66457611985801701</v>
      </c>
      <c r="J19" s="40" t="s">
        <v>14</v>
      </c>
      <c r="K19" s="41">
        <v>15</v>
      </c>
      <c r="L19" s="41">
        <v>85</v>
      </c>
      <c r="M19" s="42">
        <f>B23/6</f>
        <v>28166.666666666668</v>
      </c>
      <c r="N19" s="42">
        <f>F23*I19</f>
        <v>114766.75776514738</v>
      </c>
      <c r="O19" s="42">
        <f t="shared" si="0"/>
        <v>-86600.091098480712</v>
      </c>
      <c r="P19" s="41">
        <f t="shared" si="1"/>
        <v>0</v>
      </c>
      <c r="Q19" s="41">
        <f t="shared" si="2"/>
        <v>0</v>
      </c>
      <c r="R19" s="43">
        <f t="shared" si="3"/>
        <v>-86600.091098480712</v>
      </c>
      <c r="S19" s="20"/>
      <c r="T19" s="57">
        <f>SUM(B23,C23)/6-F23</f>
        <v>30475</v>
      </c>
    </row>
    <row r="20" spans="1:20" ht="15.75" thickBot="1" x14ac:dyDescent="0.3">
      <c r="A20" s="10">
        <v>42522</v>
      </c>
      <c r="B20" s="11">
        <f t="shared" si="4"/>
        <v>1625000</v>
      </c>
      <c r="C20" s="11">
        <f t="shared" si="5"/>
        <v>0</v>
      </c>
      <c r="D20" s="12"/>
      <c r="E20" s="10">
        <v>42522</v>
      </c>
      <c r="F20" s="13">
        <f t="shared" si="6"/>
        <v>230208.33333333331</v>
      </c>
      <c r="G20" s="16"/>
      <c r="H20" s="56"/>
      <c r="I20" s="44">
        <f>SUM(C11:C22)/(SUM(B11:B22)+SUM(C11:C22))</f>
        <v>0.33542388014198299</v>
      </c>
      <c r="J20" s="45" t="s">
        <v>8</v>
      </c>
      <c r="K20" s="36">
        <v>50</v>
      </c>
      <c r="L20" s="36">
        <v>50</v>
      </c>
      <c r="M20" s="46">
        <f>C23/6</f>
        <v>175000</v>
      </c>
      <c r="N20" s="46">
        <f>F23*I20</f>
        <v>57924.908901519273</v>
      </c>
      <c r="O20" s="46">
        <f t="shared" si="0"/>
        <v>117075.09109848073</v>
      </c>
      <c r="P20" s="36">
        <f t="shared" si="1"/>
        <v>0</v>
      </c>
      <c r="Q20" s="36">
        <f t="shared" si="2"/>
        <v>0</v>
      </c>
      <c r="R20" s="37">
        <f t="shared" si="3"/>
        <v>-36811.809777103379</v>
      </c>
      <c r="S20" s="21"/>
      <c r="T20" s="58"/>
    </row>
    <row r="21" spans="1:20" x14ac:dyDescent="0.25">
      <c r="A21" s="10">
        <v>42552</v>
      </c>
      <c r="B21" s="11">
        <f t="shared" si="4"/>
        <v>65000</v>
      </c>
      <c r="C21" s="11">
        <f t="shared" si="5"/>
        <v>52500</v>
      </c>
      <c r="D21" s="12"/>
      <c r="E21" s="10">
        <v>42552</v>
      </c>
      <c r="F21" s="13">
        <f t="shared" si="6"/>
        <v>16645.833333333332</v>
      </c>
      <c r="G21" s="16"/>
      <c r="H21" s="55">
        <v>42644</v>
      </c>
      <c r="I21" s="39">
        <f>SUM(B12:B23)/(SUM(B12:B23)+SUM(C12:C23))</f>
        <v>0.66240348531251347</v>
      </c>
      <c r="J21" s="40" t="s">
        <v>14</v>
      </c>
      <c r="K21" s="41">
        <v>15</v>
      </c>
      <c r="L21" s="41">
        <v>85</v>
      </c>
      <c r="M21" s="42">
        <f>B24/6</f>
        <v>465833.33333333331</v>
      </c>
      <c r="N21" s="42">
        <f>F24*I21</f>
        <v>262284.18003853399</v>
      </c>
      <c r="O21" s="42">
        <f t="shared" si="0"/>
        <v>203549.15329479933</v>
      </c>
      <c r="P21" s="41">
        <f t="shared" si="1"/>
        <v>17542.359329447791</v>
      </c>
      <c r="Q21" s="41">
        <f t="shared" si="2"/>
        <v>99406.702866870823</v>
      </c>
      <c r="R21" s="43">
        <f t="shared" si="3"/>
        <v>0</v>
      </c>
      <c r="S21" s="20"/>
      <c r="T21" s="57">
        <f>SUM(B24,C24)/6-F24</f>
        <v>69875</v>
      </c>
    </row>
    <row r="22" spans="1:20" ht="15.75" thickBot="1" x14ac:dyDescent="0.3">
      <c r="A22" s="10">
        <v>42583</v>
      </c>
      <c r="B22" s="11">
        <f t="shared" si="4"/>
        <v>104000</v>
      </c>
      <c r="C22" s="11">
        <f t="shared" si="5"/>
        <v>0</v>
      </c>
      <c r="D22" s="12"/>
      <c r="E22" s="10">
        <v>42583</v>
      </c>
      <c r="F22" s="13">
        <f t="shared" si="6"/>
        <v>14733.333333333332</v>
      </c>
      <c r="G22" s="16"/>
      <c r="H22" s="56"/>
      <c r="I22" s="44">
        <f>SUM(C12:C23)/(SUM(B12:B23)+SUM(C12:C23))</f>
        <v>0.33759651468748653</v>
      </c>
      <c r="J22" s="45" t="s">
        <v>8</v>
      </c>
      <c r="K22" s="36">
        <v>50</v>
      </c>
      <c r="L22" s="36">
        <v>50</v>
      </c>
      <c r="M22" s="46">
        <f>C24/6</f>
        <v>0</v>
      </c>
      <c r="N22" s="46">
        <f>F24*I22</f>
        <v>133674.15329479935</v>
      </c>
      <c r="O22" s="46">
        <f t="shared" si="0"/>
        <v>-133674.15329479935</v>
      </c>
      <c r="P22" s="36">
        <f t="shared" si="1"/>
        <v>0</v>
      </c>
      <c r="Q22" s="36">
        <f t="shared" si="2"/>
        <v>0</v>
      </c>
      <c r="R22" s="37">
        <f t="shared" si="3"/>
        <v>-170485.96307190275</v>
      </c>
      <c r="S22" s="21"/>
      <c r="T22" s="58"/>
    </row>
    <row r="23" spans="1:20" x14ac:dyDescent="0.25">
      <c r="A23" s="10">
        <v>42614</v>
      </c>
      <c r="B23" s="11">
        <f t="shared" si="4"/>
        <v>169000</v>
      </c>
      <c r="C23" s="11">
        <f t="shared" si="5"/>
        <v>1050000</v>
      </c>
      <c r="D23" s="12"/>
      <c r="E23" s="10">
        <v>42614</v>
      </c>
      <c r="F23" s="13">
        <f t="shared" si="6"/>
        <v>172691.66666666666</v>
      </c>
      <c r="G23" s="38"/>
      <c r="H23" s="55">
        <v>42675</v>
      </c>
      <c r="I23" s="39">
        <f>SUM(B13:B24)/(SUM(B13:B24)+SUM(C13:C24))</f>
        <v>0.68435804883950713</v>
      </c>
      <c r="J23" s="40" t="s">
        <v>14</v>
      </c>
      <c r="K23" s="41">
        <v>15</v>
      </c>
      <c r="L23" s="41">
        <v>85</v>
      </c>
      <c r="M23" s="42">
        <f>B25/6</f>
        <v>32500</v>
      </c>
      <c r="N23" s="42">
        <f>F25*I23</f>
        <v>171602.78074650641</v>
      </c>
      <c r="O23" s="42">
        <f t="shared" si="0"/>
        <v>-139102.78074650641</v>
      </c>
      <c r="P23" s="41">
        <f t="shared" si="1"/>
        <v>0</v>
      </c>
      <c r="Q23" s="41">
        <f t="shared" si="2"/>
        <v>0</v>
      </c>
      <c r="R23" s="43">
        <f t="shared" si="3"/>
        <v>-139102.78074650641</v>
      </c>
      <c r="S23" s="20"/>
      <c r="T23" s="57">
        <f>SUM(B25,C25)/6-F25</f>
        <v>44250</v>
      </c>
    </row>
    <row r="24" spans="1:20" ht="15.75" thickBot="1" x14ac:dyDescent="0.3">
      <c r="A24" s="10">
        <v>42644</v>
      </c>
      <c r="B24" s="11">
        <f t="shared" si="4"/>
        <v>2795000</v>
      </c>
      <c r="C24" s="11">
        <f t="shared" si="5"/>
        <v>0</v>
      </c>
      <c r="D24" s="12"/>
      <c r="E24" s="10">
        <v>42644</v>
      </c>
      <c r="F24" s="13">
        <f t="shared" si="6"/>
        <v>395958.33333333331</v>
      </c>
      <c r="G24" s="38"/>
      <c r="H24" s="56"/>
      <c r="I24" s="44">
        <f>SUM(C13:C24)/(SUM(B13:B24)+SUM(C13:C24))</f>
        <v>0.31564195116049282</v>
      </c>
      <c r="J24" s="45" t="s">
        <v>8</v>
      </c>
      <c r="K24" s="36">
        <v>50</v>
      </c>
      <c r="L24" s="36">
        <v>50</v>
      </c>
      <c r="M24" s="46">
        <f>C25/6</f>
        <v>262500</v>
      </c>
      <c r="N24" s="46">
        <f>F25*I24</f>
        <v>79147.219253493575</v>
      </c>
      <c r="O24" s="46">
        <f t="shared" si="0"/>
        <v>183352.78074650641</v>
      </c>
      <c r="P24" s="36">
        <f t="shared" si="1"/>
        <v>6433.4088373018312</v>
      </c>
      <c r="Q24" s="36">
        <f t="shared" si="2"/>
        <v>6433.4088373018312</v>
      </c>
      <c r="R24" s="37">
        <f t="shared" si="3"/>
        <v>0</v>
      </c>
      <c r="S24" s="21"/>
      <c r="T24" s="58"/>
    </row>
    <row r="25" spans="1:20" x14ac:dyDescent="0.25">
      <c r="A25" s="10">
        <v>42675</v>
      </c>
      <c r="B25" s="11">
        <f t="shared" si="4"/>
        <v>195000</v>
      </c>
      <c r="C25" s="11">
        <f t="shared" si="5"/>
        <v>1575000</v>
      </c>
      <c r="D25" s="12"/>
      <c r="E25" s="10">
        <v>42675</v>
      </c>
      <c r="F25" s="13">
        <f t="shared" si="6"/>
        <v>250750</v>
      </c>
      <c r="G25" s="16"/>
      <c r="H25" s="55">
        <v>42705</v>
      </c>
      <c r="I25" s="39">
        <f>SUM(B14:B25)/(SUM(B14:B25)+SUM(C14:C25))</f>
        <v>0.68065987926122218</v>
      </c>
      <c r="J25" s="40" t="s">
        <v>14</v>
      </c>
      <c r="K25" s="41">
        <v>15</v>
      </c>
      <c r="L25" s="41">
        <v>85</v>
      </c>
      <c r="M25" s="42">
        <f>B26/6</f>
        <v>43333.333333333336</v>
      </c>
      <c r="N25" s="42">
        <f>F26*I25</f>
        <v>65570.235035497739</v>
      </c>
      <c r="O25" s="42">
        <f t="shared" si="0"/>
        <v>-22236.901702164403</v>
      </c>
      <c r="P25" s="41">
        <f t="shared" si="1"/>
        <v>0</v>
      </c>
      <c r="Q25" s="41">
        <f t="shared" si="2"/>
        <v>0</v>
      </c>
      <c r="R25" s="43">
        <f t="shared" si="3"/>
        <v>-161339.68244867082</v>
      </c>
      <c r="S25" s="20"/>
      <c r="T25" s="57">
        <f>SUM(B26,C26)/6-F26</f>
        <v>17000</v>
      </c>
    </row>
    <row r="26" spans="1:20" ht="15.75" thickBot="1" x14ac:dyDescent="0.3">
      <c r="A26" s="14">
        <v>42705</v>
      </c>
      <c r="B26" s="11">
        <f t="shared" si="4"/>
        <v>260000</v>
      </c>
      <c r="C26" s="11">
        <f t="shared" si="5"/>
        <v>420000</v>
      </c>
      <c r="D26" s="12"/>
      <c r="E26" s="14">
        <v>42705</v>
      </c>
      <c r="F26" s="13">
        <f>((SUM(B26:C26)))/6*($F$12/100)</f>
        <v>96333.333333333328</v>
      </c>
      <c r="G26" s="16"/>
      <c r="H26" s="56"/>
      <c r="I26" s="44">
        <f>SUM(C14:C25)/(SUM(B14:B25)+SUM(C14:C25))</f>
        <v>0.31934012073877788</v>
      </c>
      <c r="J26" s="45" t="s">
        <v>8</v>
      </c>
      <c r="K26" s="36">
        <v>50</v>
      </c>
      <c r="L26" s="36">
        <v>50</v>
      </c>
      <c r="M26" s="46">
        <f>C26/6</f>
        <v>70000</v>
      </c>
      <c r="N26" s="46">
        <f>F26*I26</f>
        <v>30763.098297835601</v>
      </c>
      <c r="O26" s="46">
        <f t="shared" si="0"/>
        <v>39236.901702164396</v>
      </c>
      <c r="P26" s="36">
        <f>IF((O26+R24)&gt;0,(O26+R24)*(K26/100),0)</f>
        <v>19618.450851082198</v>
      </c>
      <c r="Q26" s="36">
        <f t="shared" si="2"/>
        <v>19618.450851082198</v>
      </c>
      <c r="R26" s="37">
        <f t="shared" si="3"/>
        <v>0</v>
      </c>
      <c r="S26" s="21"/>
      <c r="T26" s="58"/>
    </row>
    <row r="27" spans="1:20" ht="15.75" thickBot="1" x14ac:dyDescent="0.3">
      <c r="Q27" s="22">
        <f>SUM(Q3:Q26)</f>
        <v>333914.17829950136</v>
      </c>
      <c r="T27" s="19">
        <f>SUM(T3:T26)</f>
        <v>252955</v>
      </c>
    </row>
    <row r="28" spans="1:20" x14ac:dyDescent="0.25">
      <c r="A28" s="23"/>
      <c r="G28" s="8"/>
      <c r="Q28" s="49" t="s">
        <v>18</v>
      </c>
      <c r="T28" s="47" t="s">
        <v>17</v>
      </c>
    </row>
    <row r="29" spans="1:20" ht="15.75" thickBot="1" x14ac:dyDescent="0.3">
      <c r="Q29" s="50"/>
      <c r="T29" s="48"/>
    </row>
    <row r="30" spans="1:20" x14ac:dyDescent="0.25">
      <c r="A30" s="28" t="s">
        <v>21</v>
      </c>
      <c r="B30" s="28"/>
      <c r="C30" s="28"/>
      <c r="D30" s="29" t="s">
        <v>19</v>
      </c>
    </row>
    <row r="31" spans="1:20" x14ac:dyDescent="0.25">
      <c r="D31" s="31">
        <v>30</v>
      </c>
    </row>
    <row r="32" spans="1:20" x14ac:dyDescent="0.25">
      <c r="D32" s="29" t="s">
        <v>20</v>
      </c>
    </row>
    <row r="33" spans="1:4" x14ac:dyDescent="0.25">
      <c r="D33" s="31">
        <v>5</v>
      </c>
    </row>
    <row r="35" spans="1:4" ht="28.5" x14ac:dyDescent="0.45">
      <c r="A35" s="35" t="s">
        <v>24</v>
      </c>
      <c r="B35" s="34"/>
      <c r="C35" s="34"/>
    </row>
  </sheetData>
  <mergeCells count="28">
    <mergeCell ref="H21:H22"/>
    <mergeCell ref="T21:T22"/>
    <mergeCell ref="H23:H24"/>
    <mergeCell ref="T23:T24"/>
    <mergeCell ref="H25:H26"/>
    <mergeCell ref="T25:T26"/>
    <mergeCell ref="H15:H16"/>
    <mergeCell ref="T15:T16"/>
    <mergeCell ref="H17:H18"/>
    <mergeCell ref="T17:T18"/>
    <mergeCell ref="H19:H20"/>
    <mergeCell ref="T19:T20"/>
    <mergeCell ref="T28:T29"/>
    <mergeCell ref="Q28:Q29"/>
    <mergeCell ref="B1:C1"/>
    <mergeCell ref="A1:A2"/>
    <mergeCell ref="H3:H4"/>
    <mergeCell ref="T3:T4"/>
    <mergeCell ref="H5:H6"/>
    <mergeCell ref="T5:T6"/>
    <mergeCell ref="H7:H8"/>
    <mergeCell ref="T7:T8"/>
    <mergeCell ref="H9:H10"/>
    <mergeCell ref="T9:T10"/>
    <mergeCell ref="H11:H12"/>
    <mergeCell ref="T11:T12"/>
    <mergeCell ref="H13:H14"/>
    <mergeCell ref="T13:T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2016-02-03T13:37:59Z</dcterms:modified>
</cp:coreProperties>
</file>