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6" activeTab="2"/>
  </bookViews>
  <sheets>
    <sheet name="плотность посадки" sheetId="1" r:id="rId1"/>
    <sheet name="расчет освещения" sheetId="2" r:id="rId2"/>
    <sheet name="Пользовательский калькулятор" sheetId="3" r:id="rId3"/>
    <sheet name="Спецификация кормав" sheetId="4" r:id="rId4"/>
    <sheet name="Предельные нормы содержания нек" sheetId="5" r:id="rId5"/>
    <sheet name="содержание питательных вещест н" sheetId="6" r:id="rId6"/>
    <sheet name="не менять файл" sheetId="7" r:id="rId7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Введите средний вес</t>
        </r>
      </text>
    </comment>
  </commentList>
</comments>
</file>

<file path=xl/sharedStrings.xml><?xml version="1.0" encoding="utf-8"?>
<sst xmlns="http://schemas.openxmlformats.org/spreadsheetml/2006/main" count="324" uniqueCount="122">
  <si>
    <t>Плотность посадки при различных показателях живого веса</t>
  </si>
  <si>
    <t>Живой вес (кг)</t>
  </si>
  <si>
    <t>Птиц на кв.м.</t>
  </si>
  <si>
    <t>Мощность ламп</t>
  </si>
  <si>
    <t>Кол-во* на 10 люксов</t>
  </si>
  <si>
    <t>Кол-во* на 20 люксов</t>
  </si>
  <si>
    <t>Площадь пола  =</t>
  </si>
  <si>
    <t>кв. м.</t>
  </si>
  <si>
    <t>* - Это формула показывает кол-во ламп с вольфрамовой нитью, расположенных на высоте два метра над цыплятами бройлеров.</t>
  </si>
  <si>
    <t>Кол-во гр в кг комбикорма</t>
  </si>
  <si>
    <t>Условие — необходимо что бы было написано «Выполнено!»</t>
  </si>
  <si>
    <t>Стартер</t>
  </si>
  <si>
    <t>Гроуэр</t>
  </si>
  <si>
    <t>Финишер</t>
  </si>
  <si>
    <t>Минимум</t>
  </si>
  <si>
    <t>Максимум</t>
  </si>
  <si>
    <t>Ячмень</t>
  </si>
  <si>
    <t>Кукуруза</t>
  </si>
  <si>
    <t>Пшеница</t>
  </si>
  <si>
    <t>Сорго</t>
  </si>
  <si>
    <t>Овес</t>
  </si>
  <si>
    <t>Кукурузный глютеновый корм</t>
  </si>
  <si>
    <t>Кукурузная глютеновая мука</t>
  </si>
  <si>
    <t>Кормовые мелкие крупки пшеницы</t>
  </si>
  <si>
    <t>Пшеничные отруби</t>
  </si>
  <si>
    <t>Сырые рисовые отруби</t>
  </si>
  <si>
    <t>Экст. Рисовые отруби</t>
  </si>
  <si>
    <t>Кормовые бобы (белые)</t>
  </si>
  <si>
    <t>Горох</t>
  </si>
  <si>
    <t>Соевые бобы, подвергнутые термообработки</t>
  </si>
  <si>
    <t>Соевая мука, 48</t>
  </si>
  <si>
    <t>Жмых подсолнечника, 39</t>
  </si>
  <si>
    <t>Рапсовая/Каноловая мука</t>
  </si>
  <si>
    <t>Рыбная мука 66</t>
  </si>
  <si>
    <t xml:space="preserve">Селедочная мука </t>
  </si>
  <si>
    <t>Мясо-Костная мука</t>
  </si>
  <si>
    <t>Общий объем должен составлять 1000 гр заполняется автоматически</t>
  </si>
  <si>
    <t>Процент содержания необходимых элементов от нормы исходя из внесенных Вами данных по компонентам.</t>
  </si>
  <si>
    <t>Сырые протеины</t>
  </si>
  <si>
    <t>Энергетическая ценность</t>
  </si>
  <si>
    <t>AMEn</t>
  </si>
  <si>
    <t>Аргинин</t>
  </si>
  <si>
    <t>Изолейцин</t>
  </si>
  <si>
    <t>Лизин</t>
  </si>
  <si>
    <t>Метионин</t>
  </si>
  <si>
    <t>Метионин+Цистин</t>
  </si>
  <si>
    <t>Треонин</t>
  </si>
  <si>
    <t>Триптофан</t>
  </si>
  <si>
    <t>Валин</t>
  </si>
  <si>
    <t>Кальций</t>
  </si>
  <si>
    <t>Усвояемый фосфор</t>
  </si>
  <si>
    <t>Натрий</t>
  </si>
  <si>
    <t>Хлориды</t>
  </si>
  <si>
    <t>Калий</t>
  </si>
  <si>
    <t>Живой вес 2,3-2,5 время выращивания 42-45 дней</t>
  </si>
  <si>
    <t>Возраст</t>
  </si>
  <si>
    <t>дней</t>
  </si>
  <si>
    <t>0-10</t>
  </si>
  <si>
    <t>11-28</t>
  </si>
  <si>
    <t>29 и более</t>
  </si>
  <si>
    <t>Сырой протеин</t>
  </si>
  <si>
    <t>%</t>
  </si>
  <si>
    <t>22-25</t>
  </si>
  <si>
    <t>20-22</t>
  </si>
  <si>
    <t>18-20</t>
  </si>
  <si>
    <t>Энергии на кг</t>
  </si>
  <si>
    <t>ккал</t>
  </si>
  <si>
    <t>Мдж</t>
  </si>
  <si>
    <t>Аминокислоты</t>
  </si>
  <si>
    <t>общее кол.</t>
  </si>
  <si>
    <t>усв. Кол.</t>
  </si>
  <si>
    <t>Минеральные вещества</t>
  </si>
  <si>
    <t>Магний</t>
  </si>
  <si>
    <t>0,05-0,5</t>
  </si>
  <si>
    <t>0,16-0,22</t>
  </si>
  <si>
    <t>0,4-0,9</t>
  </si>
  <si>
    <t>Микроэлементы (на кг)</t>
  </si>
  <si>
    <t>Медь</t>
  </si>
  <si>
    <t>мг</t>
  </si>
  <si>
    <t>Йод</t>
  </si>
  <si>
    <t>Железо</t>
  </si>
  <si>
    <t>Марганец</t>
  </si>
  <si>
    <t>Молибден</t>
  </si>
  <si>
    <t>Селен</t>
  </si>
  <si>
    <t>Цинк</t>
  </si>
  <si>
    <t>Предельные нормы концентрации некоторых веществ</t>
  </si>
  <si>
    <t>Ингредиенты</t>
  </si>
  <si>
    <t>Мин. Норма%</t>
  </si>
  <si>
    <t>Макс. Норма %</t>
  </si>
  <si>
    <t>Зерновые</t>
  </si>
  <si>
    <t>Рис</t>
  </si>
  <si>
    <t>Отходы и корнеплоды</t>
  </si>
  <si>
    <t>Пшеничные отруби/мелкие крупки</t>
  </si>
  <si>
    <t>Рисовые отруби</t>
  </si>
  <si>
    <t xml:space="preserve">Меласса </t>
  </si>
  <si>
    <t>Тапиока</t>
  </si>
  <si>
    <t>Бобовые</t>
  </si>
  <si>
    <t>Кормовые бобы</t>
  </si>
  <si>
    <t>Лупин</t>
  </si>
  <si>
    <t>Масленичные семена и мука</t>
  </si>
  <si>
    <t>Полножировые семена рапса</t>
  </si>
  <si>
    <t>Полножировые соевые бобы</t>
  </si>
  <si>
    <t>Соевая мука</t>
  </si>
  <si>
    <t>Подсолнечная мука</t>
  </si>
  <si>
    <t>Хлопковая мука</t>
  </si>
  <si>
    <t>Мука из продуктов животного происхождения</t>
  </si>
  <si>
    <t>Мясная мука</t>
  </si>
  <si>
    <t>Рыбная мука</t>
  </si>
  <si>
    <t>Перьевая мука</t>
  </si>
  <si>
    <t>Жиры и масла</t>
  </si>
  <si>
    <t>животные жиры</t>
  </si>
  <si>
    <t>растительные жиры</t>
  </si>
  <si>
    <t>Холин</t>
  </si>
  <si>
    <t>Линолевая кислота</t>
  </si>
  <si>
    <t>Сухие вещества</t>
  </si>
  <si>
    <t>Общ.</t>
  </si>
  <si>
    <t>Усв.</t>
  </si>
  <si>
    <t>грамм</t>
  </si>
  <si>
    <t>г</t>
  </si>
  <si>
    <t>*</t>
  </si>
  <si>
    <t>* - Если процент выходит за рамки диапазона (93% - 107%), то необходимо изменить соотношение компонентов соответствующим образом, сохраняя при этом общий вес 1000гр</t>
  </si>
  <si>
    <t>Новую версию калькулятора Вы можете скачать перейдя по ссылке.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</si>
</sst>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0" fontId="4" fillId="36" borderId="10" xfId="0" applyNumberFormat="1" applyFont="1" applyFill="1" applyBorder="1" applyAlignment="1">
      <alignment horizontal="center"/>
    </xf>
    <xf numFmtId="10" fontId="4" fillId="3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10" fontId="4" fillId="35" borderId="10" xfId="0" applyNumberFormat="1" applyFont="1" applyFill="1" applyBorder="1" applyAlignment="1">
      <alignment horizontal="center"/>
    </xf>
    <xf numFmtId="0" fontId="30" fillId="0" borderId="11" xfId="42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41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0" borderId="1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3366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usfermer.esy.es/forum/ptica/&#1074;&#1099;&#1088;&#1072;&#1097;&#1080;&#1074;&#1072;&#1085;&#1080;&#1077;-&#1094;&#1099;&#1087;&#1083;&#1103;&#1090;-&#1073;&#1088;&#1086;&#1081;&#1083;&#1077;&#1088;&#1086;&#1074;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9"/>
  <sheetViews>
    <sheetView zoomScale="90" zoomScaleNormal="90" zoomScalePageLayoutView="0" workbookViewId="0" topLeftCell="A1">
      <selection activeCell="A8" sqref="A8"/>
    </sheetView>
  </sheetViews>
  <sheetFormatPr defaultColWidth="11.57421875" defaultRowHeight="12.75"/>
  <cols>
    <col min="1" max="2" width="27.7109375" style="0" customWidth="1"/>
  </cols>
  <sheetData>
    <row r="1" spans="1:2" ht="12.75">
      <c r="A1" s="37" t="s">
        <v>0</v>
      </c>
      <c r="B1" s="37"/>
    </row>
    <row r="2" spans="1:2" ht="12.75">
      <c r="A2" s="1" t="s">
        <v>1</v>
      </c>
      <c r="B2" s="1" t="s">
        <v>2</v>
      </c>
    </row>
    <row r="3" spans="1:2" ht="12.75">
      <c r="A3" s="2">
        <v>2.5</v>
      </c>
      <c r="B3" s="1">
        <f>34/A3</f>
        <v>13.6</v>
      </c>
    </row>
    <row r="4" spans="1:2" ht="12.75">
      <c r="A4" s="3"/>
      <c r="B4" s="3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D12"/>
  <sheetViews>
    <sheetView zoomScale="90" zoomScaleNormal="90" zoomScalePageLayoutView="0" workbookViewId="0" topLeftCell="A1">
      <selection activeCell="F7" sqref="F7"/>
    </sheetView>
  </sheetViews>
  <sheetFormatPr defaultColWidth="11.57421875" defaultRowHeight="12.75"/>
  <cols>
    <col min="1" max="1" width="10.421875" style="0" customWidth="1"/>
    <col min="2" max="2" width="11.140625" style="0" customWidth="1"/>
    <col min="3" max="3" width="11.421875" style="0" customWidth="1"/>
  </cols>
  <sheetData>
    <row r="1" spans="1:3" ht="25.5">
      <c r="A1" s="4" t="s">
        <v>3</v>
      </c>
      <c r="B1" s="4" t="s">
        <v>4</v>
      </c>
      <c r="C1" s="4" t="s">
        <v>5</v>
      </c>
    </row>
    <row r="2" spans="1:3" ht="12.75">
      <c r="A2" s="5">
        <v>15</v>
      </c>
      <c r="B2" s="6">
        <f>(C$8*10)/(A2*3.8)</f>
        <v>87.71929824561404</v>
      </c>
      <c r="C2" s="6">
        <f>(C$8*20)/(A2*3.8)</f>
        <v>175.43859649122808</v>
      </c>
    </row>
    <row r="3" spans="1:3" ht="12.75">
      <c r="A3" s="5">
        <v>25</v>
      </c>
      <c r="B3" s="6">
        <f>(C$8*10)/(A3*4.2)</f>
        <v>47.61904761904762</v>
      </c>
      <c r="C3" s="6">
        <f>(C$8*20)/(A3*4.2)</f>
        <v>95.23809523809524</v>
      </c>
    </row>
    <row r="4" spans="1:3" ht="12.75">
      <c r="A4" s="5">
        <v>40</v>
      </c>
      <c r="B4" s="6">
        <f>(C$8*10)/(A4*4.6)</f>
        <v>27.17391304347826</v>
      </c>
      <c r="C4" s="6">
        <f>(C$8*20)/(A4*4.6)</f>
        <v>54.34782608695652</v>
      </c>
    </row>
    <row r="5" spans="1:3" ht="12.75">
      <c r="A5" s="5">
        <v>60</v>
      </c>
      <c r="B5" s="6">
        <f>(C$8*10)/(A5*5)</f>
        <v>16.666666666666668</v>
      </c>
      <c r="C5" s="6">
        <f>(C$8*20)/(A5*5)</f>
        <v>33.333333333333336</v>
      </c>
    </row>
    <row r="6" spans="1:3" ht="12.75">
      <c r="A6" s="5">
        <v>100</v>
      </c>
      <c r="B6" s="6">
        <f>(C$8*10)/(A6*6)</f>
        <v>8.333333333333334</v>
      </c>
      <c r="C6" s="6">
        <f>(C$8*20)/(A6*6)</f>
        <v>16.666666666666668</v>
      </c>
    </row>
    <row r="8" spans="1:4" ht="12.75">
      <c r="A8" s="38" t="s">
        <v>6</v>
      </c>
      <c r="B8" s="38"/>
      <c r="C8" s="7">
        <v>500</v>
      </c>
      <c r="D8" t="s">
        <v>7</v>
      </c>
    </row>
    <row r="10" spans="1:4" ht="12.75" customHeight="1">
      <c r="A10" s="39" t="s">
        <v>8</v>
      </c>
      <c r="B10" s="39"/>
      <c r="C10" s="39"/>
      <c r="D10" s="39"/>
    </row>
    <row r="11" spans="1:4" ht="12.75">
      <c r="A11" s="39"/>
      <c r="B11" s="39"/>
      <c r="C11" s="39"/>
      <c r="D11" s="39"/>
    </row>
    <row r="12" spans="1:4" ht="12.75">
      <c r="A12" s="39"/>
      <c r="B12" s="39"/>
      <c r="C12" s="39"/>
      <c r="D12" s="39"/>
    </row>
  </sheetData>
  <sheetProtection selectLockedCells="1" selectUnlockedCells="1"/>
  <mergeCells count="2">
    <mergeCell ref="A8:B8"/>
    <mergeCell ref="A10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tabSelected="1" zoomScale="90" zoomScaleNormal="90" zoomScalePageLayoutView="0" workbookViewId="0" topLeftCell="A1">
      <selection activeCell="H11" sqref="H11"/>
    </sheetView>
  </sheetViews>
  <sheetFormatPr defaultColWidth="11.57421875" defaultRowHeight="12.75"/>
  <cols>
    <col min="1" max="1" width="39.140625" style="0" customWidth="1"/>
    <col min="2" max="2" width="15.421875" style="0" customWidth="1"/>
    <col min="3" max="6" width="36.28125" style="0" customWidth="1"/>
  </cols>
  <sheetData>
    <row r="1" spans="1:6" ht="12.75">
      <c r="A1" s="42" t="s">
        <v>121</v>
      </c>
      <c r="B1" s="42"/>
      <c r="C1" s="42"/>
      <c r="D1" s="42"/>
      <c r="E1" s="42"/>
      <c r="F1" s="42"/>
    </row>
    <row r="2" spans="1:6" ht="12.75" customHeight="1">
      <c r="A2" s="46">
        <v>89051204706</v>
      </c>
      <c r="B2" s="47" t="s">
        <v>9</v>
      </c>
      <c r="C2" s="48" t="s">
        <v>10</v>
      </c>
      <c r="D2" s="48"/>
      <c r="E2" s="48"/>
      <c r="F2" s="48"/>
    </row>
    <row r="3" spans="1:6" ht="12.75">
      <c r="A3" s="46"/>
      <c r="B3" s="47"/>
      <c r="C3" s="49" t="s">
        <v>11</v>
      </c>
      <c r="D3" s="49"/>
      <c r="E3" s="10" t="s">
        <v>12</v>
      </c>
      <c r="F3" s="11" t="s">
        <v>13</v>
      </c>
    </row>
    <row r="4" spans="1:6" ht="12.75">
      <c r="A4" s="46"/>
      <c r="B4" s="47"/>
      <c r="C4" s="9" t="s">
        <v>14</v>
      </c>
      <c r="D4" s="9" t="s">
        <v>15</v>
      </c>
      <c r="E4" s="10" t="s">
        <v>15</v>
      </c>
      <c r="F4" s="11" t="s">
        <v>15</v>
      </c>
    </row>
    <row r="5" spans="1:6" ht="45" customHeight="1">
      <c r="A5" s="12" t="s">
        <v>16</v>
      </c>
      <c r="B5" s="13">
        <v>0</v>
      </c>
      <c r="C5" s="14"/>
      <c r="D5" s="15" t="str">
        <f>IF(B5&gt;100,"Необходимо уменьшить содержание ячменя как минимум до 100 грамм на 1 кг. комбикорма","Выполнено!")</f>
        <v>Выполнено!</v>
      </c>
      <c r="E5" s="16" t="str">
        <f>IF(B5&gt;200,"Необходимо уменьшить содержание ячменя как минимум до 200 грамм на 1 кг. комбикорма","Выполнено!")</f>
        <v>Выполнено!</v>
      </c>
      <c r="F5" s="17" t="str">
        <f>IF(B5&gt;250,"Необходимо уменьшить содержание ячменя как минимум до 250 грамм на 1 кг. комбикорма","Выполнено!")</f>
        <v>Выполнено!</v>
      </c>
    </row>
    <row r="6" spans="1:6" ht="45" customHeight="1">
      <c r="A6" s="12" t="s">
        <v>17</v>
      </c>
      <c r="B6" s="13">
        <v>400</v>
      </c>
      <c r="C6" s="15" t="str">
        <f>IF(B6&lt;150,"Необходимо добавить содержание кукурузы как минимум до 150 грамм на 1 кг. комбикорма","Выполнено!")</f>
        <v>Выполнено!</v>
      </c>
      <c r="D6" s="15" t="str">
        <f>IF(B6&gt;500,"Необходимо уменьшить содержание кукурузы как минимум до 500 грамм на 1 кг. комбикорма","Выполнено!")</f>
        <v>Выполнено!</v>
      </c>
      <c r="E6" s="16" t="str">
        <f>IF(B6&gt;500,"Необходимо уменьшить содержание кукурузы как минимум до 500 грамм на 1 кг. комбикорма","Выполнено!")</f>
        <v>Выполнено!</v>
      </c>
      <c r="F6" s="17" t="str">
        <f>IF(B6&gt;500,"Необходимо уменьшить содержание кукурузы как минимум до 500 грамм на 1 кг. комбикорма","Выполнено!")</f>
        <v>Выполнено!</v>
      </c>
    </row>
    <row r="7" spans="1:6" ht="45" customHeight="1">
      <c r="A7" s="12" t="s">
        <v>18</v>
      </c>
      <c r="B7" s="13">
        <v>400</v>
      </c>
      <c r="C7" s="15" t="str">
        <f>IF(B7&lt;150,"Необходимо добавить содержание пшеницы как минимум до 150 грамм на 1 кг. комбикорма","Выполнено!")</f>
        <v>Выполнено!</v>
      </c>
      <c r="D7" s="15" t="str">
        <f>IF(B7&gt;500,"Необходимо уменьшить содержание пшеницы как минимум до 500 грамм на 1 кг. комбикорма","Выполнено!")</f>
        <v>Выполнено!</v>
      </c>
      <c r="E7" s="16" t="str">
        <f>IF(B7&gt;500,"Необходимо уменьшить содержание пшеницы как минимум до 500 грамм на 1 кг. комбикорма","Выполнено!")</f>
        <v>Выполнено!</v>
      </c>
      <c r="F7" s="17" t="str">
        <f>IF(B7&gt;500,"Необходимо уменьшить содержание пшеницы как минимум до 500 грамм на 1 кг. комбикорма","Выполнено!")</f>
        <v>Выполнено!</v>
      </c>
    </row>
    <row r="8" spans="1:6" ht="45" customHeight="1">
      <c r="A8" s="12" t="s">
        <v>19</v>
      </c>
      <c r="B8" s="13">
        <v>0</v>
      </c>
      <c r="C8" s="14"/>
      <c r="D8" s="15" t="str">
        <f>IF(B8&gt;500,"Необходимо уменьшить содержание Сорго как минимум до 500 грамм на 1 кг. комбикорма","Выполнено!")</f>
        <v>Выполнено!</v>
      </c>
      <c r="E8" s="16" t="str">
        <f>IF(B8&gt;500,"Необходимо уменьшить содержание Сорго как минимум до 500 грамм на 1 кг. комбикорма","Выполнено!")</f>
        <v>Выполнено!</v>
      </c>
      <c r="F8" s="17" t="str">
        <f>IF(B8&gt;500,"Необходимо уменьшить содержание Сорго как минимум до 500 грамм на 1 кг. комбикорма","Выполнено!")</f>
        <v>Выполнено!</v>
      </c>
    </row>
    <row r="9" spans="1:6" ht="45" customHeight="1">
      <c r="A9" s="12" t="s">
        <v>20</v>
      </c>
      <c r="B9" s="13">
        <v>0</v>
      </c>
      <c r="C9" s="14"/>
      <c r="D9" s="14"/>
      <c r="E9" s="14"/>
      <c r="F9" s="14"/>
    </row>
    <row r="10" spans="1:6" ht="45" customHeight="1">
      <c r="A10" s="12" t="s">
        <v>21</v>
      </c>
      <c r="B10" s="13">
        <v>0</v>
      </c>
      <c r="C10" s="14"/>
      <c r="D10" s="15" t="str">
        <f>IF(B10&gt;50,"Необходимо уменьшить содержание компонента как минимум до 50 грамм на 1 кг. комбикорма","Выполнено!")</f>
        <v>Выполнено!</v>
      </c>
      <c r="E10" s="16" t="str">
        <f>IF(B10&gt;100,"Необходимо уменьшить содержание компонента как минимум до 100 грамм на 1 кг. комбикорма","Выполнено!")</f>
        <v>Выполнено!</v>
      </c>
      <c r="F10" s="17" t="str">
        <f>IF(B10&gt;150,"Необходимо уменьшить содержание компонента как минимум до 150 грамм на 1 кг. комбикорма","Выполнено!")</f>
        <v>Выполнено!</v>
      </c>
    </row>
    <row r="11" spans="1:6" ht="45" customHeight="1">
      <c r="A11" s="12" t="s">
        <v>22</v>
      </c>
      <c r="B11" s="13">
        <v>0</v>
      </c>
      <c r="C11" s="14"/>
      <c r="D11" s="14"/>
      <c r="E11" s="14"/>
      <c r="F11" s="14"/>
    </row>
    <row r="12" spans="1:6" ht="45" customHeight="1">
      <c r="A12" s="12" t="s">
        <v>23</v>
      </c>
      <c r="B12" s="13">
        <v>0</v>
      </c>
      <c r="C12" s="14"/>
      <c r="D12" s="15" t="str">
        <f>IF(B12&gt;100,"Необходимо уменьшить содержание компонента как минимум до 100 грамм на 1 кг. комбикорма","Выполнено!")</f>
        <v>Выполнено!</v>
      </c>
      <c r="E12" s="16" t="str">
        <f>IF(B12&gt;150,"Необходимо уменьшить содержание компонента как минимум до 150 грамм на 1 кг. комбикорма","Выполнено!")</f>
        <v>Выполнено!</v>
      </c>
      <c r="F12" s="17" t="str">
        <f>IF(B12&gt;150,"Необходимо уменьшить содержание компонента как минимум до 150 грамм на 1 кг. комбикорма","Выполнено!")</f>
        <v>Выполнено!</v>
      </c>
    </row>
    <row r="13" spans="1:6" ht="45" customHeight="1">
      <c r="A13" s="12" t="s">
        <v>24</v>
      </c>
      <c r="B13" s="13">
        <v>0</v>
      </c>
      <c r="C13" s="14"/>
      <c r="D13" s="15" t="str">
        <f>IF(B13&gt;100,"Необходимо уменьшить содержание компонента как минимум до 100 грамм на 1 кг. комбикорма","Выполнено!")</f>
        <v>Выполнено!</v>
      </c>
      <c r="E13" s="16" t="str">
        <f>IF(B13&gt;150,"Необходимо уменьшить содержание компонента как минимум до 150 грамм на 1 кг. комбикорма","Выполнено!")</f>
        <v>Выполнено!</v>
      </c>
      <c r="F13" s="17" t="str">
        <f>IF(B13&gt;150,"Необходимо уменьшить содержание компонента как минимум до 150 грамм на 1 кг. комбикорма","Выполнено!")</f>
        <v>Выполнено!</v>
      </c>
    </row>
    <row r="14" spans="1:6" ht="45" customHeight="1">
      <c r="A14" s="12" t="s">
        <v>25</v>
      </c>
      <c r="B14" s="13">
        <v>0</v>
      </c>
      <c r="C14" s="14"/>
      <c r="D14" s="15" t="str">
        <f>IF(B14&gt;50,"Необходимо уменьшить содержание компонента как минимум до 50 грамм на 1 кг. комбикорма","Выполнено!")</f>
        <v>Выполнено!</v>
      </c>
      <c r="E14" s="16" t="str">
        <f>IF(B14&gt;100,"Необходимо уменьшить содержание компонента как минимум до 100 грамм на 1 кг. комбикорма","Выполнено!")</f>
        <v>Выполнено!</v>
      </c>
      <c r="F14" s="17" t="str">
        <f>IF(B14&gt;150,"Необходимо уменьшить содержание компонента как минимум до 150 грамм на 1 кг. комбикорма","Выполнено!")</f>
        <v>Выполнено!</v>
      </c>
    </row>
    <row r="15" spans="1:6" ht="45" customHeight="1">
      <c r="A15" s="12" t="s">
        <v>26</v>
      </c>
      <c r="B15" s="13">
        <v>0</v>
      </c>
      <c r="C15" s="14"/>
      <c r="D15" s="14"/>
      <c r="E15" s="14"/>
      <c r="F15" s="14"/>
    </row>
    <row r="16" spans="1:6" ht="45" customHeight="1">
      <c r="A16" s="12" t="s">
        <v>27</v>
      </c>
      <c r="B16" s="13">
        <v>0</v>
      </c>
      <c r="C16" s="14"/>
      <c r="D16" s="15" t="str">
        <f>IF(B16&gt;50,"Необходимо уменьшить содержание компонента как минимум до 50 грамм на 1 кг. комбикорма","Выполнено!")</f>
        <v>Выполнено!</v>
      </c>
      <c r="E16" s="16" t="str">
        <f>IF(B16&gt;100,"Необходимо уменьшить содержание компонента как минимум до 100 грамм на 1 кг. комбикорма","Выполнено!")</f>
        <v>Выполнено!</v>
      </c>
      <c r="F16" s="17" t="str">
        <f>IF(B16&gt;100,"Необходимо уменьшить содержание компонента как минимум до 100 грамм на 1 кг. комбикорма","Выполнено!")</f>
        <v>Выполнено!</v>
      </c>
    </row>
    <row r="17" spans="1:6" ht="45" customHeight="1">
      <c r="A17" s="12" t="s">
        <v>28</v>
      </c>
      <c r="B17" s="13">
        <v>50</v>
      </c>
      <c r="C17" s="14"/>
      <c r="D17" s="15" t="str">
        <f>IF(B17&gt;50,"Необходимо уменьшить содержание компонента как минимум до 50 грамм на 1 кг. комбикорма","Выполнено!")</f>
        <v>Выполнено!</v>
      </c>
      <c r="E17" s="16" t="str">
        <f>IF(B17&gt;150,"Необходимо уменьшить содержание компонента как минимум до 150 грамм на 1 кг. комбикорма","Выполнено!")</f>
        <v>Выполнено!</v>
      </c>
      <c r="F17" s="17" t="str">
        <f>IF(B17&gt;200,"Необходимо уменьшить содержание компонента как минимум до 200 грамм на 1 кг. комбикорма","Выполнено!")</f>
        <v>Выполнено!</v>
      </c>
    </row>
    <row r="18" spans="1:6" ht="45" customHeight="1">
      <c r="A18" s="8" t="s">
        <v>29</v>
      </c>
      <c r="B18" s="13">
        <v>0</v>
      </c>
      <c r="C18" s="14"/>
      <c r="D18" s="14"/>
      <c r="E18" s="14"/>
      <c r="F18" s="14"/>
    </row>
    <row r="19" spans="1:6" ht="45" customHeight="1">
      <c r="A19" s="12" t="s">
        <v>30</v>
      </c>
      <c r="B19" s="13">
        <v>100</v>
      </c>
      <c r="C19" s="15" t="str">
        <f>IF(B19&lt;100,"Необходимо добавить содержание компонента как минимум до 100 грамм на 1 кг. комбикорма","Выполнено!")</f>
        <v>Выполнено!</v>
      </c>
      <c r="D19" s="15" t="str">
        <f>IF(B19&gt;250,"Необходимо уменьшить содержание компонента как минимум до 250 грамм на 1 кг. комбикорма","Выполнено!")</f>
        <v>Выполнено!</v>
      </c>
      <c r="E19" s="16" t="str">
        <f>IF(B19&gt;250,"Необходимо уменьшить содержание компонента как минимум до 250 грамм на 1 кг. комбикорма","Выполнено!")</f>
        <v>Выполнено!</v>
      </c>
      <c r="F19" s="17" t="str">
        <f>IF(B19&gt;250,"Необходимо уменьшить содержание компонента как минимум до 250 грамм на 1 кг. комбикорма","Выполнено!")</f>
        <v>Выполнено!</v>
      </c>
    </row>
    <row r="20" spans="1:6" ht="45" customHeight="1">
      <c r="A20" s="12" t="s">
        <v>31</v>
      </c>
      <c r="B20" s="13">
        <v>0</v>
      </c>
      <c r="C20" s="14"/>
      <c r="D20" s="14"/>
      <c r="E20" s="14"/>
      <c r="F20" s="14"/>
    </row>
    <row r="21" spans="1:6" ht="45" customHeight="1">
      <c r="A21" s="12" t="s">
        <v>32</v>
      </c>
      <c r="B21" s="13">
        <v>0</v>
      </c>
      <c r="C21" s="14"/>
      <c r="D21" s="14"/>
      <c r="E21" s="14"/>
      <c r="F21" s="14"/>
    </row>
    <row r="22" spans="1:6" ht="45" customHeight="1">
      <c r="A22" s="12" t="s">
        <v>33</v>
      </c>
      <c r="B22" s="13">
        <v>50</v>
      </c>
      <c r="C22" s="15" t="str">
        <f>IF(B22&lt;50,"Необходимо добавить содержание компонента как минимум до 50 грамм на 1 кг. комбикорма","Выполнено!")</f>
        <v>Выполнено!</v>
      </c>
      <c r="D22" s="15" t="str">
        <f>IF(B22&gt;100,"Необходимо уменьшить содержание компонента как минимум до 100 грамм на 1 кг. комбикорма","Выполнено!")</f>
        <v>Выполнено!</v>
      </c>
      <c r="E22" s="16" t="str">
        <f>IF(B22&gt;100,"Необходимо уменьшить содержание компонента как минимум до 100 грамм на 1 кг. комбикорма","Выполнено!")</f>
        <v>Выполнено!</v>
      </c>
      <c r="F22" s="17" t="str">
        <f>IF(B22&gt;50,"Необходимо уменьшить содержание компонента как минимум до 50 грамм на 1 кг. комбикорма","Выполнено!")</f>
        <v>Выполнено!</v>
      </c>
    </row>
    <row r="23" spans="1:6" ht="45" customHeight="1">
      <c r="A23" s="12" t="s">
        <v>34</v>
      </c>
      <c r="B23" s="13">
        <v>0</v>
      </c>
      <c r="C23" s="14"/>
      <c r="D23" s="14"/>
      <c r="E23" s="14"/>
      <c r="F23" s="14"/>
    </row>
    <row r="24" spans="1:6" ht="45" customHeight="1">
      <c r="A24" s="12" t="s">
        <v>35</v>
      </c>
      <c r="B24" s="13">
        <v>0</v>
      </c>
      <c r="C24" s="14"/>
      <c r="D24" s="15" t="str">
        <f>IF(B24&gt;80,"Необходимо уменьшить содержание компонента как минимум до 100 грамм на 1 кг. комбикорма","Выполнено!")</f>
        <v>Выполнено!</v>
      </c>
      <c r="E24" s="16" t="str">
        <f>IF(B24&gt;100,"Необходимо уменьшить содержание компонента как минимум до 100 грамм на 1 кг. комбикорма","Выполнено!")</f>
        <v>Выполнено!</v>
      </c>
      <c r="F24" s="17" t="str">
        <f>IF(B24&gt;150,"Необходимо уменьшить содержание компонента как минимум до 150 грамм на 1 кг. комбикорма","Выполнено!")</f>
        <v>Выполнено!</v>
      </c>
    </row>
    <row r="26" spans="1:9" ht="25.5">
      <c r="A26" s="18" t="s">
        <v>36</v>
      </c>
      <c r="B26" s="19">
        <f>SUM(B5:B24)</f>
        <v>1000</v>
      </c>
      <c r="C26" s="50" t="str">
        <f>IF(B26=1000,"Условие выполнено !","Условие не выполнено, необходимо откорректировасть содержание ингридиентов")</f>
        <v>Условие выполнено !</v>
      </c>
      <c r="D26" s="50"/>
      <c r="E26" s="50"/>
      <c r="F26" s="50"/>
      <c r="G26" s="20"/>
      <c r="H26" s="20"/>
      <c r="I26" s="20"/>
    </row>
    <row r="28" spans="1:6" ht="20.25">
      <c r="A28" s="51" t="s">
        <v>37</v>
      </c>
      <c r="B28" s="51"/>
      <c r="C28" s="51"/>
      <c r="D28" s="51"/>
      <c r="E28" s="51"/>
      <c r="F28" s="51"/>
    </row>
    <row r="29" spans="1:6" ht="18">
      <c r="A29" s="44"/>
      <c r="B29" s="44"/>
      <c r="C29" s="45" t="s">
        <v>11</v>
      </c>
      <c r="D29" s="45"/>
      <c r="E29" s="21" t="s">
        <v>12</v>
      </c>
      <c r="F29" s="22" t="s">
        <v>13</v>
      </c>
    </row>
    <row r="30" spans="1:6" ht="12.75" customHeight="1">
      <c r="A30" s="43" t="s">
        <v>38</v>
      </c>
      <c r="B30" s="43"/>
      <c r="C30" s="41">
        <f>'не менять файл'!C26</f>
        <v>0.7787472035794184</v>
      </c>
      <c r="D30" s="41"/>
      <c r="E30" s="23">
        <f>'не менять файл'!C27</f>
        <v>0.8288095238095239</v>
      </c>
      <c r="F30" s="24">
        <f>'не менять файл'!C28</f>
        <v>0.9160526315789475</v>
      </c>
    </row>
    <row r="31" spans="1:6" ht="12.75" customHeight="1">
      <c r="A31" s="43" t="s">
        <v>39</v>
      </c>
      <c r="B31" s="43"/>
      <c r="C31" s="41">
        <f>'не менять файл'!D26</f>
        <v>1.011111111111111</v>
      </c>
      <c r="D31" s="41"/>
      <c r="E31" s="23">
        <f>'не менять файл'!D27</f>
        <v>0.9578947368421052</v>
      </c>
      <c r="F31" s="24">
        <f>'не менять файл'!D28</f>
        <v>0.9367647058823529</v>
      </c>
    </row>
    <row r="32" spans="1:6" ht="18">
      <c r="A32" s="40" t="s">
        <v>40</v>
      </c>
      <c r="B32" s="40"/>
      <c r="C32" s="41">
        <f>'не менять файл'!E26</f>
        <v>1.009717607973422</v>
      </c>
      <c r="D32" s="41"/>
      <c r="E32" s="23">
        <f>'не менять файл'!E27</f>
        <v>0.9572440944881889</v>
      </c>
      <c r="F32" s="24">
        <f>'не менять файл'!E28</f>
        <v>0.9424031007751938</v>
      </c>
    </row>
    <row r="33" spans="1:6" ht="18">
      <c r="A33" s="40" t="s">
        <v>41</v>
      </c>
      <c r="B33" s="40"/>
      <c r="C33" s="41">
        <f>'не менять файл'!F26</f>
        <v>6.973684210526316</v>
      </c>
      <c r="D33" s="41"/>
      <c r="E33" s="23">
        <f>'не менять файл'!F27</f>
        <v>7.995689655172415</v>
      </c>
      <c r="F33" s="24">
        <f>'не менять файл'!F28</f>
        <v>9.661458333333334</v>
      </c>
    </row>
    <row r="34" spans="1:6" ht="18">
      <c r="A34" s="40" t="s">
        <v>42</v>
      </c>
      <c r="B34" s="40"/>
      <c r="C34" s="41">
        <f>'не менять файл'!G26</f>
        <v>7.190476190476191</v>
      </c>
      <c r="D34" s="41"/>
      <c r="E34" s="23">
        <f>'не менять файл'!G27</f>
        <v>8.38888888888889</v>
      </c>
      <c r="F34" s="24">
        <f>'не менять файл'!G28</f>
        <v>10.066666666666665</v>
      </c>
    </row>
    <row r="35" spans="1:6" ht="18">
      <c r="A35" s="40" t="s">
        <v>43</v>
      </c>
      <c r="B35" s="40"/>
      <c r="C35" s="41">
        <f>'не менять файл'!H26</f>
        <v>5.834645669291339</v>
      </c>
      <c r="D35" s="41"/>
      <c r="E35" s="23">
        <f>'не менять файл'!H27</f>
        <v>6.861111111111111</v>
      </c>
      <c r="F35" s="24">
        <f>'не менять файл'!H28</f>
        <v>8.420454545454545</v>
      </c>
    </row>
    <row r="36" spans="1:6" ht="18">
      <c r="A36" s="40" t="s">
        <v>44</v>
      </c>
      <c r="B36" s="40"/>
      <c r="C36" s="41">
        <f>'не менять файл'!I26</f>
        <v>6.042553191489361</v>
      </c>
      <c r="D36" s="41"/>
      <c r="E36" s="23">
        <f>'не менять файл'!I27</f>
        <v>6.926829268292682</v>
      </c>
      <c r="F36" s="24">
        <f>'не менять файл'!I28</f>
        <v>8.352941176470587</v>
      </c>
    </row>
    <row r="37" spans="1:6" ht="18">
      <c r="A37" s="40" t="s">
        <v>45</v>
      </c>
      <c r="B37" s="40"/>
      <c r="C37" s="41">
        <f>'не менять файл'!J26</f>
        <v>5.749999999999999</v>
      </c>
      <c r="D37" s="41"/>
      <c r="E37" s="23">
        <f>'не менять файл'!J27</f>
        <v>6.591463414634145</v>
      </c>
      <c r="F37" s="24">
        <f>'не менять файл'!J28</f>
        <v>7.833333333333332</v>
      </c>
    </row>
    <row r="38" spans="1:6" ht="18">
      <c r="A38" s="40" t="s">
        <v>46</v>
      </c>
      <c r="B38" s="40"/>
      <c r="C38" s="41">
        <f>'не менять файл'!K26</f>
        <v>6.712500000000001</v>
      </c>
      <c r="D38" s="41"/>
      <c r="E38" s="23">
        <f>'не менять файл'!K27</f>
        <v>7.782608695652175</v>
      </c>
      <c r="F38" s="24">
        <f>'не менять файл'!K28</f>
        <v>9.258620689655174</v>
      </c>
    </row>
    <row r="39" spans="1:6" ht="18">
      <c r="A39" s="40" t="s">
        <v>47</v>
      </c>
      <c r="B39" s="40"/>
      <c r="C39" s="41">
        <f>'не менять файл'!L26</f>
        <v>7.75</v>
      </c>
      <c r="D39" s="41"/>
      <c r="E39" s="23">
        <f>'не менять файл'!L27</f>
        <v>14.44915254237288</v>
      </c>
      <c r="F39" s="24">
        <f>'не менять файл'!L28</f>
        <v>10.65625</v>
      </c>
    </row>
    <row r="40" spans="1:6" ht="18">
      <c r="A40" s="40" t="s">
        <v>48</v>
      </c>
      <c r="B40" s="40"/>
      <c r="C40" s="41">
        <f>'не менять файл'!M26</f>
        <v>7.5212765957446805</v>
      </c>
      <c r="D40" s="41"/>
      <c r="E40" s="23">
        <f>'не менять файл'!M27</f>
        <v>8.728395061728396</v>
      </c>
      <c r="F40" s="24">
        <f>'не менять файл'!M28</f>
        <v>10.552238805970148</v>
      </c>
    </row>
    <row r="41" spans="1:6" ht="18">
      <c r="A41" s="40" t="s">
        <v>49</v>
      </c>
      <c r="B41" s="40"/>
      <c r="C41" s="41">
        <f>'не менять файл'!N26</f>
        <v>2.47</v>
      </c>
      <c r="D41" s="41"/>
      <c r="E41" s="23">
        <f>'не менять файл'!N27</f>
        <v>2.7444444444444445</v>
      </c>
      <c r="F41" s="24">
        <f>'не менять файл'!N28</f>
        <v>2.905882352941177</v>
      </c>
    </row>
    <row r="42" spans="1:6" ht="12.75" customHeight="1">
      <c r="A42" s="43" t="s">
        <v>50</v>
      </c>
      <c r="B42" s="43"/>
      <c r="C42" s="41">
        <f>'не менять файл'!O26</f>
        <v>4.24</v>
      </c>
      <c r="D42" s="41"/>
      <c r="E42" s="23">
        <f>'не менять файл'!O27</f>
        <v>4.711111111111111</v>
      </c>
      <c r="F42" s="24">
        <f>'не менять файл'!O28</f>
        <v>5.047619047619048</v>
      </c>
    </row>
    <row r="43" spans="1:6" ht="18">
      <c r="A43" s="40" t="s">
        <v>51</v>
      </c>
      <c r="B43" s="40"/>
      <c r="C43" s="41">
        <f>'не менять файл'!P26</f>
        <v>3.875</v>
      </c>
      <c r="D43" s="41"/>
      <c r="E43" s="23">
        <f>'не менять файл'!P27</f>
        <v>3.875</v>
      </c>
      <c r="F43" s="24">
        <f>'не менять файл'!P28</f>
        <v>3.875</v>
      </c>
    </row>
    <row r="44" spans="1:6" ht="18">
      <c r="A44" s="40" t="s">
        <v>52</v>
      </c>
      <c r="B44" s="40"/>
      <c r="C44" s="41">
        <f>'не менять файл'!Q26</f>
        <v>6.368421052631579</v>
      </c>
      <c r="D44" s="41"/>
      <c r="E44" s="23">
        <f>'не менять файл'!Q27</f>
        <v>6.368421052631579</v>
      </c>
      <c r="F44" s="24">
        <f>'не менять файл'!Q28</f>
        <v>6.368421052631579</v>
      </c>
    </row>
    <row r="45" spans="1:6" ht="18">
      <c r="A45" s="40" t="s">
        <v>53</v>
      </c>
      <c r="B45" s="40"/>
      <c r="C45" s="41">
        <f>'не менять файл'!R26</f>
        <v>9.892307692307691</v>
      </c>
      <c r="D45" s="41"/>
      <c r="E45" s="23">
        <f>'не менять файл'!R27</f>
        <v>9.892307692307691</v>
      </c>
      <c r="F45" s="24">
        <f>'не менять файл'!R28</f>
        <v>9.892307692307691</v>
      </c>
    </row>
  </sheetData>
  <sheetProtection selectLockedCells="1" selectUnlockedCells="1"/>
  <mergeCells count="41">
    <mergeCell ref="A2:A4"/>
    <mergeCell ref="B2:B4"/>
    <mergeCell ref="C2:F2"/>
    <mergeCell ref="C3:D3"/>
    <mergeCell ref="C26:F26"/>
    <mergeCell ref="A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C43:D43"/>
    <mergeCell ref="A38:B38"/>
    <mergeCell ref="C38:D38"/>
    <mergeCell ref="A39:B39"/>
    <mergeCell ref="C39:D39"/>
    <mergeCell ref="A40:B40"/>
    <mergeCell ref="C40:D40"/>
    <mergeCell ref="A44:B44"/>
    <mergeCell ref="C44:D44"/>
    <mergeCell ref="A45:B45"/>
    <mergeCell ref="C45:D45"/>
    <mergeCell ref="A1:F1"/>
    <mergeCell ref="A41:B41"/>
    <mergeCell ref="C41:D41"/>
    <mergeCell ref="A42:B42"/>
    <mergeCell ref="C42:D42"/>
    <mergeCell ref="A43:B43"/>
  </mergeCells>
  <hyperlinks>
    <hyperlink ref="A1:F1" r:id="rId1" display="Новую версию калькулятора Вы можете скачать перейдя по ссылке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17.421875" style="0" customWidth="1"/>
    <col min="2" max="2" width="6.421875" style="0" customWidth="1"/>
  </cols>
  <sheetData>
    <row r="1" spans="1:8" ht="12.75">
      <c r="A1" s="37" t="s">
        <v>54</v>
      </c>
      <c r="B1" s="37"/>
      <c r="C1" s="37"/>
      <c r="D1" s="37"/>
      <c r="E1" s="37"/>
      <c r="F1" s="37"/>
      <c r="G1" s="37"/>
      <c r="H1" s="37"/>
    </row>
    <row r="2" spans="1:8" ht="12.75">
      <c r="A2" s="25"/>
      <c r="B2" s="25"/>
      <c r="C2" s="53" t="s">
        <v>11</v>
      </c>
      <c r="D2" s="53"/>
      <c r="E2" s="53" t="s">
        <v>12</v>
      </c>
      <c r="F2" s="53"/>
      <c r="G2" s="53" t="s">
        <v>13</v>
      </c>
      <c r="H2" s="53"/>
    </row>
    <row r="3" spans="1:8" ht="12.75">
      <c r="A3" s="25" t="s">
        <v>55</v>
      </c>
      <c r="B3" s="1" t="s">
        <v>56</v>
      </c>
      <c r="C3" s="37" t="s">
        <v>57</v>
      </c>
      <c r="D3" s="37"/>
      <c r="E3" s="54" t="s">
        <v>58</v>
      </c>
      <c r="F3" s="54"/>
      <c r="G3" s="37" t="s">
        <v>59</v>
      </c>
      <c r="H3" s="37"/>
    </row>
    <row r="4" spans="1:8" ht="12.75">
      <c r="A4" s="25" t="s">
        <v>60</v>
      </c>
      <c r="B4" s="1" t="s">
        <v>61</v>
      </c>
      <c r="C4" s="37" t="s">
        <v>62</v>
      </c>
      <c r="D4" s="37"/>
      <c r="E4" s="37" t="s">
        <v>63</v>
      </c>
      <c r="F4" s="37"/>
      <c r="G4" s="37" t="s">
        <v>64</v>
      </c>
      <c r="H4" s="37"/>
    </row>
    <row r="5" spans="1:8" ht="12.75">
      <c r="A5" s="25" t="s">
        <v>65</v>
      </c>
      <c r="B5" s="1" t="s">
        <v>66</v>
      </c>
      <c r="C5" s="37">
        <v>3010</v>
      </c>
      <c r="D5" s="37"/>
      <c r="E5" s="37">
        <v>3175</v>
      </c>
      <c r="F5" s="37"/>
      <c r="G5" s="37">
        <v>3225</v>
      </c>
      <c r="H5" s="37"/>
    </row>
    <row r="6" spans="1:8" ht="12.75">
      <c r="A6" s="25"/>
      <c r="B6" s="1" t="s">
        <v>67</v>
      </c>
      <c r="C6" s="37">
        <v>12.6</v>
      </c>
      <c r="D6" s="37"/>
      <c r="E6" s="37">
        <v>13.3</v>
      </c>
      <c r="F6" s="37"/>
      <c r="G6" s="37">
        <v>13.5</v>
      </c>
      <c r="H6" s="37"/>
    </row>
    <row r="7" spans="1:8" ht="12.75">
      <c r="A7" s="27" t="s">
        <v>68</v>
      </c>
      <c r="B7" s="27"/>
      <c r="C7" s="27" t="s">
        <v>69</v>
      </c>
      <c r="D7" s="27" t="s">
        <v>70</v>
      </c>
      <c r="E7" s="27" t="s">
        <v>69</v>
      </c>
      <c r="F7" s="27" t="s">
        <v>70</v>
      </c>
      <c r="G7" s="27" t="s">
        <v>69</v>
      </c>
      <c r="H7" s="27" t="s">
        <v>70</v>
      </c>
    </row>
    <row r="8" spans="1:8" ht="12.75">
      <c r="A8" s="25" t="s">
        <v>41</v>
      </c>
      <c r="B8" s="1" t="s">
        <v>61</v>
      </c>
      <c r="C8" s="1">
        <v>1.48</v>
      </c>
      <c r="D8" s="1">
        <v>1.33</v>
      </c>
      <c r="E8" s="1">
        <v>1.28</v>
      </c>
      <c r="F8" s="1">
        <v>1.16</v>
      </c>
      <c r="G8" s="1">
        <v>1.07</v>
      </c>
      <c r="H8" s="1">
        <v>0.96</v>
      </c>
    </row>
    <row r="9" spans="1:8" ht="12.75">
      <c r="A9" s="25" t="s">
        <v>42</v>
      </c>
      <c r="B9" s="1" t="s">
        <v>61</v>
      </c>
      <c r="C9" s="1">
        <v>0.95</v>
      </c>
      <c r="D9" s="1">
        <v>0.84</v>
      </c>
      <c r="E9" s="1">
        <v>0.82</v>
      </c>
      <c r="F9" s="1">
        <v>0.72</v>
      </c>
      <c r="G9" s="1">
        <v>0.68</v>
      </c>
      <c r="H9" s="1">
        <v>0.6000000000000001</v>
      </c>
    </row>
    <row r="10" spans="1:8" ht="12.75">
      <c r="A10" s="25" t="s">
        <v>43</v>
      </c>
      <c r="B10" s="1" t="s">
        <v>61</v>
      </c>
      <c r="C10" s="1">
        <v>1.44</v>
      </c>
      <c r="D10" s="1">
        <v>1.27</v>
      </c>
      <c r="E10" s="1">
        <v>1.23</v>
      </c>
      <c r="F10" s="1">
        <v>1.08</v>
      </c>
      <c r="G10" s="1">
        <v>1</v>
      </c>
      <c r="H10" s="1">
        <v>0.88</v>
      </c>
    </row>
    <row r="11" spans="1:8" ht="12.75">
      <c r="A11" s="25" t="s">
        <v>44</v>
      </c>
      <c r="B11" s="1" t="s">
        <v>61</v>
      </c>
      <c r="C11" s="1">
        <v>0.51</v>
      </c>
      <c r="D11" s="1">
        <v>0.47</v>
      </c>
      <c r="E11" s="1">
        <v>0.45</v>
      </c>
      <c r="F11" s="1">
        <v>0.41</v>
      </c>
      <c r="G11" s="1">
        <v>0.37</v>
      </c>
      <c r="H11" s="1">
        <v>0.34</v>
      </c>
    </row>
    <row r="12" spans="1:8" ht="12.75">
      <c r="A12" s="25" t="s">
        <v>45</v>
      </c>
      <c r="B12" s="1" t="s">
        <v>61</v>
      </c>
      <c r="C12" s="1">
        <v>1.09</v>
      </c>
      <c r="D12" s="1">
        <v>0.94</v>
      </c>
      <c r="E12" s="1">
        <v>0.95</v>
      </c>
      <c r="F12" s="1">
        <v>0.82</v>
      </c>
      <c r="G12" s="1">
        <v>0.8</v>
      </c>
      <c r="H12" s="1">
        <v>0.69</v>
      </c>
    </row>
    <row r="13" spans="1:8" ht="12.75">
      <c r="A13" s="25" t="s">
        <v>46</v>
      </c>
      <c r="B13" s="1" t="s">
        <v>61</v>
      </c>
      <c r="C13" s="1">
        <v>0.93</v>
      </c>
      <c r="D13" s="1">
        <v>0.8</v>
      </c>
      <c r="E13" s="1">
        <v>0.8</v>
      </c>
      <c r="F13" s="1">
        <v>0.69</v>
      </c>
      <c r="G13" s="1">
        <v>0.68</v>
      </c>
      <c r="H13" s="1">
        <v>0.58</v>
      </c>
    </row>
    <row r="14" spans="1:8" ht="12.75">
      <c r="A14" s="25" t="s">
        <v>47</v>
      </c>
      <c r="B14" s="1" t="s">
        <v>61</v>
      </c>
      <c r="C14" s="1">
        <v>0.25</v>
      </c>
      <c r="D14" s="1">
        <v>0.22</v>
      </c>
      <c r="E14" s="1">
        <v>0.21</v>
      </c>
      <c r="F14" s="1">
        <v>0.11800000000000001</v>
      </c>
      <c r="G14" s="1">
        <v>0.18</v>
      </c>
      <c r="H14" s="1">
        <v>0.16</v>
      </c>
    </row>
    <row r="15" spans="1:8" ht="12.75">
      <c r="A15" s="25" t="s">
        <v>48</v>
      </c>
      <c r="B15" s="1" t="s">
        <v>61</v>
      </c>
      <c r="C15" s="1">
        <v>1.09</v>
      </c>
      <c r="D15" s="1">
        <v>0.94</v>
      </c>
      <c r="E15" s="1">
        <v>0.94</v>
      </c>
      <c r="F15" s="1">
        <v>0.81</v>
      </c>
      <c r="G15" s="1">
        <v>0.78</v>
      </c>
      <c r="H15" s="1">
        <v>0.67</v>
      </c>
    </row>
    <row r="16" spans="1:8" ht="25.5">
      <c r="A16" s="28" t="s">
        <v>71</v>
      </c>
      <c r="B16" s="52"/>
      <c r="C16" s="52"/>
      <c r="D16" s="52"/>
      <c r="E16" s="52"/>
      <c r="F16" s="52"/>
      <c r="G16" s="52"/>
      <c r="H16" s="52"/>
    </row>
    <row r="17" spans="1:8" ht="12.75">
      <c r="A17" s="25" t="s">
        <v>49</v>
      </c>
      <c r="B17" s="1" t="s">
        <v>61</v>
      </c>
      <c r="C17" s="37">
        <v>1</v>
      </c>
      <c r="D17" s="37"/>
      <c r="E17" s="37">
        <v>0.9</v>
      </c>
      <c r="F17" s="37"/>
      <c r="G17" s="37">
        <v>0.85</v>
      </c>
      <c r="H17" s="37"/>
    </row>
    <row r="18" spans="1:8" ht="12.75">
      <c r="A18" s="25" t="s">
        <v>50</v>
      </c>
      <c r="B18" s="1" t="s">
        <v>61</v>
      </c>
      <c r="C18" s="37">
        <v>0.5</v>
      </c>
      <c r="D18" s="37"/>
      <c r="E18" s="37">
        <v>0.45</v>
      </c>
      <c r="F18" s="37"/>
      <c r="G18" s="37">
        <v>0.42</v>
      </c>
      <c r="H18" s="37"/>
    </row>
    <row r="19" spans="1:8" ht="12.75">
      <c r="A19" s="25" t="s">
        <v>72</v>
      </c>
      <c r="B19" s="1" t="s">
        <v>61</v>
      </c>
      <c r="C19" s="37" t="s">
        <v>73</v>
      </c>
      <c r="D19" s="37"/>
      <c r="E19" s="37" t="s">
        <v>73</v>
      </c>
      <c r="F19" s="37"/>
      <c r="G19" s="37" t="s">
        <v>73</v>
      </c>
      <c r="H19" s="37"/>
    </row>
    <row r="20" spans="1:8" ht="12.75">
      <c r="A20" s="25" t="s">
        <v>51</v>
      </c>
      <c r="B20" s="1" t="s">
        <v>61</v>
      </c>
      <c r="C20" s="37">
        <v>0.16</v>
      </c>
      <c r="D20" s="37"/>
      <c r="E20" s="37">
        <v>0.16</v>
      </c>
      <c r="F20" s="37"/>
      <c r="G20" s="37">
        <v>0.16</v>
      </c>
      <c r="H20" s="37"/>
    </row>
    <row r="21" spans="1:8" ht="12.75">
      <c r="A21" s="25" t="s">
        <v>52</v>
      </c>
      <c r="B21" s="1" t="s">
        <v>61</v>
      </c>
      <c r="C21" s="37" t="s">
        <v>74</v>
      </c>
      <c r="D21" s="37"/>
      <c r="E21" s="37" t="s">
        <v>74</v>
      </c>
      <c r="F21" s="37"/>
      <c r="G21" s="37" t="s">
        <v>74</v>
      </c>
      <c r="H21" s="37"/>
    </row>
    <row r="22" spans="1:8" ht="12.75">
      <c r="A22" s="25" t="s">
        <v>53</v>
      </c>
      <c r="B22" s="1" t="s">
        <v>61</v>
      </c>
      <c r="C22" s="37" t="s">
        <v>75</v>
      </c>
      <c r="D22" s="37"/>
      <c r="E22" s="37" t="s">
        <v>75</v>
      </c>
      <c r="F22" s="37"/>
      <c r="G22" s="37" t="s">
        <v>75</v>
      </c>
      <c r="H22" s="37"/>
    </row>
    <row r="23" spans="1:8" ht="25.5">
      <c r="A23" s="28" t="s">
        <v>76</v>
      </c>
      <c r="B23" s="52"/>
      <c r="C23" s="52"/>
      <c r="D23" s="52"/>
      <c r="E23" s="52"/>
      <c r="F23" s="52"/>
      <c r="G23" s="52"/>
      <c r="H23" s="52"/>
    </row>
    <row r="24" spans="1:8" ht="12.75">
      <c r="A24" s="25" t="s">
        <v>77</v>
      </c>
      <c r="B24" s="25" t="s">
        <v>78</v>
      </c>
      <c r="C24" s="37">
        <v>8</v>
      </c>
      <c r="D24" s="37"/>
      <c r="E24" s="37">
        <v>8</v>
      </c>
      <c r="F24" s="37"/>
      <c r="G24" s="37">
        <v>8</v>
      </c>
      <c r="H24" s="37"/>
    </row>
    <row r="25" spans="1:8" ht="12.75">
      <c r="A25" s="25" t="s">
        <v>79</v>
      </c>
      <c r="B25" s="25" t="s">
        <v>78</v>
      </c>
      <c r="C25" s="37">
        <v>1</v>
      </c>
      <c r="D25" s="37"/>
      <c r="E25" s="37">
        <v>1</v>
      </c>
      <c r="F25" s="37"/>
      <c r="G25" s="37">
        <v>1</v>
      </c>
      <c r="H25" s="37"/>
    </row>
    <row r="26" spans="1:8" ht="12.75">
      <c r="A26" s="25" t="s">
        <v>80</v>
      </c>
      <c r="B26" s="25" t="s">
        <v>78</v>
      </c>
      <c r="C26" s="37">
        <v>80</v>
      </c>
      <c r="D26" s="37"/>
      <c r="E26" s="37">
        <v>80</v>
      </c>
      <c r="F26" s="37"/>
      <c r="G26" s="37">
        <v>80</v>
      </c>
      <c r="H26" s="37"/>
    </row>
    <row r="27" spans="1:8" ht="12.75">
      <c r="A27" s="25" t="s">
        <v>81</v>
      </c>
      <c r="B27" s="25" t="s">
        <v>78</v>
      </c>
      <c r="C27" s="37">
        <v>100</v>
      </c>
      <c r="D27" s="37"/>
      <c r="E27" s="37">
        <v>100</v>
      </c>
      <c r="F27" s="37"/>
      <c r="G27" s="37">
        <v>100</v>
      </c>
      <c r="H27" s="37"/>
    </row>
    <row r="28" spans="1:8" ht="12.75">
      <c r="A28" s="25" t="s">
        <v>82</v>
      </c>
      <c r="B28" s="25" t="s">
        <v>78</v>
      </c>
      <c r="C28" s="37">
        <v>1</v>
      </c>
      <c r="D28" s="37"/>
      <c r="E28" s="37">
        <v>1</v>
      </c>
      <c r="F28" s="37"/>
      <c r="G28" s="37">
        <v>1</v>
      </c>
      <c r="H28" s="37"/>
    </row>
    <row r="29" spans="1:8" ht="12.75">
      <c r="A29" s="25" t="s">
        <v>83</v>
      </c>
      <c r="B29" s="25" t="s">
        <v>78</v>
      </c>
      <c r="C29" s="37">
        <v>0.15</v>
      </c>
      <c r="D29" s="37"/>
      <c r="E29" s="37">
        <v>0.15</v>
      </c>
      <c r="F29" s="37"/>
      <c r="G29" s="37">
        <v>0.1</v>
      </c>
      <c r="H29" s="37"/>
    </row>
    <row r="30" spans="1:8" ht="12.75">
      <c r="A30" s="25" t="s">
        <v>84</v>
      </c>
      <c r="B30" s="25" t="s">
        <v>78</v>
      </c>
      <c r="C30" s="37">
        <v>80</v>
      </c>
      <c r="D30" s="37"/>
      <c r="E30" s="37">
        <v>80</v>
      </c>
      <c r="F30" s="37"/>
      <c r="G30" s="37">
        <v>60</v>
      </c>
      <c r="H30" s="37"/>
    </row>
  </sheetData>
  <sheetProtection selectLockedCells="1" selectUnlockedCells="1"/>
  <mergeCells count="57">
    <mergeCell ref="A1:H1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B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B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32"/>
  <sheetViews>
    <sheetView zoomScale="90" zoomScaleNormal="90" zoomScalePageLayoutView="0" workbookViewId="0" topLeftCell="A1">
      <selection activeCell="E32" sqref="E32"/>
    </sheetView>
  </sheetViews>
  <sheetFormatPr defaultColWidth="11.57421875" defaultRowHeight="12.75"/>
  <cols>
    <col min="1" max="1" width="37.421875" style="0" customWidth="1"/>
    <col min="2" max="2" width="8.140625" style="0" customWidth="1"/>
    <col min="3" max="3" width="12.57421875" style="0" customWidth="1"/>
    <col min="4" max="5" width="10.28125" style="0" customWidth="1"/>
  </cols>
  <sheetData>
    <row r="1" spans="1:5" ht="12.75">
      <c r="A1" s="53" t="s">
        <v>85</v>
      </c>
      <c r="B1" s="53"/>
      <c r="C1" s="53"/>
      <c r="D1" s="53"/>
      <c r="E1" s="53"/>
    </row>
    <row r="2" spans="1:5" ht="12.75">
      <c r="A2" s="5" t="s">
        <v>86</v>
      </c>
      <c r="B2" s="37" t="s">
        <v>11</v>
      </c>
      <c r="C2" s="37"/>
      <c r="D2" s="5" t="s">
        <v>12</v>
      </c>
      <c r="E2" s="5" t="s">
        <v>13</v>
      </c>
    </row>
    <row r="3" spans="1:5" ht="38.25">
      <c r="A3" s="5"/>
      <c r="B3" s="4" t="s">
        <v>87</v>
      </c>
      <c r="C3" s="4" t="s">
        <v>88</v>
      </c>
      <c r="D3" s="4" t="s">
        <v>88</v>
      </c>
      <c r="E3" s="4" t="s">
        <v>88</v>
      </c>
    </row>
    <row r="4" spans="1:5" ht="12.75">
      <c r="A4" s="27" t="s">
        <v>89</v>
      </c>
      <c r="B4" s="57"/>
      <c r="C4" s="57"/>
      <c r="D4" s="57"/>
      <c r="E4" s="57"/>
    </row>
    <row r="5" spans="1:5" ht="12.75">
      <c r="A5" s="25" t="s">
        <v>17</v>
      </c>
      <c r="B5" s="5">
        <v>15</v>
      </c>
      <c r="C5" s="5">
        <v>50</v>
      </c>
      <c r="D5" s="5">
        <v>50</v>
      </c>
      <c r="E5" s="5">
        <v>50</v>
      </c>
    </row>
    <row r="6" spans="1:5" ht="12.75">
      <c r="A6" s="25" t="s">
        <v>18</v>
      </c>
      <c r="B6" s="5">
        <v>15</v>
      </c>
      <c r="C6" s="5">
        <v>50</v>
      </c>
      <c r="D6" s="5">
        <v>50</v>
      </c>
      <c r="E6" s="5">
        <v>50</v>
      </c>
    </row>
    <row r="7" spans="1:5" ht="12.75">
      <c r="A7" s="25" t="s">
        <v>16</v>
      </c>
      <c r="B7" s="55"/>
      <c r="C7" s="5">
        <v>10</v>
      </c>
      <c r="D7" s="5">
        <v>20</v>
      </c>
      <c r="E7" s="5">
        <v>25</v>
      </c>
    </row>
    <row r="8" spans="1:5" ht="12.75">
      <c r="A8" s="25" t="s">
        <v>19</v>
      </c>
      <c r="B8" s="55"/>
      <c r="C8" s="5">
        <v>50</v>
      </c>
      <c r="D8" s="5">
        <v>50</v>
      </c>
      <c r="E8" s="5">
        <v>50</v>
      </c>
    </row>
    <row r="9" spans="1:5" ht="12.75">
      <c r="A9" s="25" t="s">
        <v>90</v>
      </c>
      <c r="B9" s="55"/>
      <c r="C9" s="5">
        <v>15</v>
      </c>
      <c r="D9" s="5">
        <v>15</v>
      </c>
      <c r="E9" s="5">
        <v>15</v>
      </c>
    </row>
    <row r="10" spans="1:5" ht="12.75">
      <c r="A10" s="28" t="s">
        <v>91</v>
      </c>
      <c r="B10" s="57"/>
      <c r="C10" s="57"/>
      <c r="D10" s="57"/>
      <c r="E10" s="57"/>
    </row>
    <row r="11" spans="1:5" ht="12.75">
      <c r="A11" s="30" t="s">
        <v>92</v>
      </c>
      <c r="B11" s="58"/>
      <c r="C11" s="31">
        <v>10</v>
      </c>
      <c r="D11" s="31">
        <v>15</v>
      </c>
      <c r="E11" s="31">
        <v>15</v>
      </c>
    </row>
    <row r="12" spans="1:5" ht="12.75">
      <c r="A12" s="25" t="s">
        <v>93</v>
      </c>
      <c r="B12" s="58"/>
      <c r="C12" s="5">
        <v>5</v>
      </c>
      <c r="D12" s="5">
        <v>10</v>
      </c>
      <c r="E12" s="5">
        <v>15</v>
      </c>
    </row>
    <row r="13" spans="1:5" ht="12.75">
      <c r="A13" s="25" t="s">
        <v>21</v>
      </c>
      <c r="B13" s="58"/>
      <c r="C13" s="5">
        <v>5</v>
      </c>
      <c r="D13" s="5">
        <v>10</v>
      </c>
      <c r="E13" s="5">
        <v>15</v>
      </c>
    </row>
    <row r="14" spans="1:5" ht="12.75">
      <c r="A14" s="25" t="s">
        <v>94</v>
      </c>
      <c r="B14" s="58"/>
      <c r="C14" s="5">
        <v>5</v>
      </c>
      <c r="D14" s="5">
        <v>5</v>
      </c>
      <c r="E14" s="5">
        <v>5</v>
      </c>
    </row>
    <row r="15" spans="1:5" ht="12.75">
      <c r="A15" s="25" t="s">
        <v>95</v>
      </c>
      <c r="B15" s="58"/>
      <c r="C15" s="5">
        <v>5</v>
      </c>
      <c r="D15" s="5">
        <v>10</v>
      </c>
      <c r="E15" s="5">
        <v>20</v>
      </c>
    </row>
    <row r="16" spans="1:5" ht="12.75">
      <c r="A16" s="27" t="s">
        <v>96</v>
      </c>
      <c r="B16" s="55"/>
      <c r="C16" s="55"/>
      <c r="D16" s="55"/>
      <c r="E16" s="55"/>
    </row>
    <row r="17" spans="1:5" ht="12.75">
      <c r="A17" s="25" t="s">
        <v>28</v>
      </c>
      <c r="B17" s="55"/>
      <c r="C17" s="5">
        <v>5</v>
      </c>
      <c r="D17" s="5">
        <v>15</v>
      </c>
      <c r="E17" s="5">
        <v>20</v>
      </c>
    </row>
    <row r="18" spans="1:5" ht="12.75">
      <c r="A18" s="25" t="s">
        <v>97</v>
      </c>
      <c r="B18" s="55"/>
      <c r="C18" s="5">
        <v>5</v>
      </c>
      <c r="D18" s="5">
        <v>10</v>
      </c>
      <c r="E18" s="5">
        <v>10</v>
      </c>
    </row>
    <row r="19" spans="1:5" ht="12.75">
      <c r="A19" s="25" t="s">
        <v>98</v>
      </c>
      <c r="B19" s="55"/>
      <c r="C19" s="5">
        <v>5</v>
      </c>
      <c r="D19" s="5">
        <v>15</v>
      </c>
      <c r="E19" s="5">
        <v>20</v>
      </c>
    </row>
    <row r="20" spans="1:5" ht="12.75">
      <c r="A20" s="27" t="s">
        <v>99</v>
      </c>
      <c r="B20" s="55"/>
      <c r="C20" s="55"/>
      <c r="D20" s="55"/>
      <c r="E20" s="55"/>
    </row>
    <row r="21" spans="1:5" ht="12.75">
      <c r="A21" s="25" t="s">
        <v>100</v>
      </c>
      <c r="B21" s="55"/>
      <c r="C21" s="5">
        <v>2.5</v>
      </c>
      <c r="D21" s="5">
        <v>5</v>
      </c>
      <c r="E21" s="5">
        <v>7.5</v>
      </c>
    </row>
    <row r="22" spans="1:5" ht="12.75">
      <c r="A22" s="25" t="s">
        <v>101</v>
      </c>
      <c r="B22" s="55"/>
      <c r="C22" s="5">
        <v>15</v>
      </c>
      <c r="D22" s="5">
        <v>20</v>
      </c>
      <c r="E22" s="5">
        <v>20</v>
      </c>
    </row>
    <row r="23" spans="1:5" ht="12.75">
      <c r="A23" s="25" t="s">
        <v>102</v>
      </c>
      <c r="B23" s="5">
        <v>10</v>
      </c>
      <c r="C23" s="5">
        <v>25</v>
      </c>
      <c r="D23" s="5">
        <v>25</v>
      </c>
      <c r="E23" s="5">
        <v>25</v>
      </c>
    </row>
    <row r="24" spans="1:5" ht="12.75">
      <c r="A24" s="25" t="s">
        <v>103</v>
      </c>
      <c r="B24" s="55"/>
      <c r="C24" s="5">
        <v>5</v>
      </c>
      <c r="D24" s="5">
        <v>10</v>
      </c>
      <c r="E24" s="5">
        <v>15</v>
      </c>
    </row>
    <row r="25" spans="1:5" ht="12.75">
      <c r="A25" s="25" t="s">
        <v>104</v>
      </c>
      <c r="B25" s="55"/>
      <c r="C25" s="5">
        <v>0</v>
      </c>
      <c r="D25" s="5">
        <v>5</v>
      </c>
      <c r="E25" s="5">
        <v>10</v>
      </c>
    </row>
    <row r="26" spans="1:5" ht="12.75">
      <c r="A26" s="56" t="s">
        <v>105</v>
      </c>
      <c r="B26" s="56"/>
      <c r="C26" s="57"/>
      <c r="D26" s="57"/>
      <c r="E26" s="57"/>
    </row>
    <row r="27" spans="1:5" ht="12.75">
      <c r="A27" s="25" t="s">
        <v>106</v>
      </c>
      <c r="B27" s="29"/>
      <c r="C27" s="5">
        <v>8</v>
      </c>
      <c r="D27" s="5">
        <v>10</v>
      </c>
      <c r="E27" s="5">
        <v>15</v>
      </c>
    </row>
    <row r="28" spans="1:5" ht="12.75">
      <c r="A28" s="25" t="s">
        <v>107</v>
      </c>
      <c r="B28" s="5">
        <v>5</v>
      </c>
      <c r="C28" s="5">
        <v>10</v>
      </c>
      <c r="D28" s="5">
        <v>10</v>
      </c>
      <c r="E28" s="5">
        <v>5</v>
      </c>
    </row>
    <row r="29" spans="1:5" ht="12.75">
      <c r="A29" s="25" t="s">
        <v>108</v>
      </c>
      <c r="B29" s="29"/>
      <c r="C29" s="5">
        <v>0</v>
      </c>
      <c r="D29" s="5">
        <v>5</v>
      </c>
      <c r="E29" s="5">
        <v>5</v>
      </c>
    </row>
    <row r="30" spans="1:5" ht="12.75">
      <c r="A30" s="27" t="s">
        <v>109</v>
      </c>
      <c r="B30" s="55"/>
      <c r="C30" s="55"/>
      <c r="D30" s="55"/>
      <c r="E30" s="55"/>
    </row>
    <row r="31" spans="1:5" ht="12.75">
      <c r="A31" s="25" t="s">
        <v>110</v>
      </c>
      <c r="B31" s="29"/>
      <c r="C31" s="5">
        <v>0</v>
      </c>
      <c r="D31" s="5">
        <v>3</v>
      </c>
      <c r="E31" s="5">
        <v>5</v>
      </c>
    </row>
    <row r="32" spans="1:5" ht="12.75">
      <c r="A32" s="25" t="s">
        <v>111</v>
      </c>
      <c r="B32" s="5">
        <v>1</v>
      </c>
      <c r="C32" s="5">
        <v>5</v>
      </c>
      <c r="D32" s="5">
        <v>5</v>
      </c>
      <c r="E32" s="5">
        <v>7</v>
      </c>
    </row>
  </sheetData>
  <sheetProtection selectLockedCells="1" selectUnlockedCells="1"/>
  <mergeCells count="14">
    <mergeCell ref="A1:E1"/>
    <mergeCell ref="B2:C2"/>
    <mergeCell ref="B4:E4"/>
    <mergeCell ref="B7:B9"/>
    <mergeCell ref="B10:E10"/>
    <mergeCell ref="B11:B15"/>
    <mergeCell ref="B30:E30"/>
    <mergeCell ref="B16:E16"/>
    <mergeCell ref="B17:B19"/>
    <mergeCell ref="B20:E20"/>
    <mergeCell ref="B21:B22"/>
    <mergeCell ref="B24:B25"/>
    <mergeCell ref="A26:B26"/>
    <mergeCell ref="C26:E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23"/>
  <sheetViews>
    <sheetView zoomScale="90" zoomScaleNormal="90" zoomScalePageLayoutView="0" workbookViewId="0" topLeftCell="A1">
      <selection activeCell="C40" sqref="C40"/>
    </sheetView>
  </sheetViews>
  <sheetFormatPr defaultColWidth="11.57421875" defaultRowHeight="12.75"/>
  <cols>
    <col min="1" max="1" width="31.57421875" style="0" customWidth="1"/>
    <col min="2" max="2" width="10.140625" style="0" customWidth="1"/>
    <col min="3" max="3" width="14.7109375" style="0" customWidth="1"/>
    <col min="4" max="4" width="12.57421875" style="0" customWidth="1"/>
    <col min="5" max="6" width="6.7109375" style="0" customWidth="1"/>
    <col min="7" max="12" width="7.8515625" style="0" customWidth="1"/>
    <col min="13" max="14" width="9.28125" style="0" customWidth="1"/>
    <col min="15" max="20" width="6.8515625" style="0" customWidth="1"/>
    <col min="21" max="22" width="11.57421875" style="0" customWidth="1"/>
    <col min="23" max="23" width="8.421875" style="0" customWidth="1"/>
    <col min="24" max="24" width="9.7109375" style="0" customWidth="1"/>
    <col min="25" max="25" width="8.00390625" style="0" customWidth="1"/>
    <col min="26" max="26" width="8.421875" style="0" customWidth="1"/>
    <col min="27" max="27" width="11.57421875" style="0" customWidth="1"/>
    <col min="28" max="28" width="10.57421875" style="0" customWidth="1"/>
  </cols>
  <sheetData>
    <row r="1" spans="1:28" ht="12.75" customHeight="1">
      <c r="A1" s="61"/>
      <c r="B1" s="59" t="s">
        <v>38</v>
      </c>
      <c r="C1" s="59" t="s">
        <v>39</v>
      </c>
      <c r="D1" s="60" t="s">
        <v>40</v>
      </c>
      <c r="E1" s="60" t="s">
        <v>41</v>
      </c>
      <c r="F1" s="60"/>
      <c r="G1" s="60" t="s">
        <v>42</v>
      </c>
      <c r="H1" s="60"/>
      <c r="I1" s="60" t="s">
        <v>43</v>
      </c>
      <c r="J1" s="60"/>
      <c r="K1" s="60" t="s">
        <v>44</v>
      </c>
      <c r="L1" s="60"/>
      <c r="M1" s="60" t="s">
        <v>45</v>
      </c>
      <c r="N1" s="60"/>
      <c r="O1" s="60" t="s">
        <v>46</v>
      </c>
      <c r="P1" s="60"/>
      <c r="Q1" s="60" t="s">
        <v>47</v>
      </c>
      <c r="R1" s="60"/>
      <c r="S1" s="60" t="s">
        <v>48</v>
      </c>
      <c r="T1" s="60"/>
      <c r="U1" s="60" t="s">
        <v>49</v>
      </c>
      <c r="V1" s="59" t="s">
        <v>50</v>
      </c>
      <c r="W1" s="60" t="s">
        <v>51</v>
      </c>
      <c r="X1" s="60" t="s">
        <v>52</v>
      </c>
      <c r="Y1" s="60" t="s">
        <v>53</v>
      </c>
      <c r="Z1" s="60" t="s">
        <v>112</v>
      </c>
      <c r="AA1" s="59" t="s">
        <v>113</v>
      </c>
      <c r="AB1" s="59" t="s">
        <v>114</v>
      </c>
    </row>
    <row r="2" spans="1:28" ht="12.75">
      <c r="A2" s="61"/>
      <c r="B2" s="59"/>
      <c r="C2" s="59"/>
      <c r="D2" s="60"/>
      <c r="E2" s="33" t="s">
        <v>115</v>
      </c>
      <c r="F2" s="33" t="s">
        <v>116</v>
      </c>
      <c r="G2" s="33" t="s">
        <v>115</v>
      </c>
      <c r="H2" s="33" t="s">
        <v>116</v>
      </c>
      <c r="I2" s="33" t="s">
        <v>115</v>
      </c>
      <c r="J2" s="33" t="s">
        <v>116</v>
      </c>
      <c r="K2" s="33" t="s">
        <v>115</v>
      </c>
      <c r="L2" s="33" t="s">
        <v>116</v>
      </c>
      <c r="M2" s="33" t="s">
        <v>115</v>
      </c>
      <c r="N2" s="33" t="s">
        <v>116</v>
      </c>
      <c r="O2" s="33" t="s">
        <v>115</v>
      </c>
      <c r="P2" s="33" t="s">
        <v>116</v>
      </c>
      <c r="Q2" s="33" t="s">
        <v>115</v>
      </c>
      <c r="R2" s="33" t="s">
        <v>116</v>
      </c>
      <c r="S2" s="33" t="s">
        <v>115</v>
      </c>
      <c r="T2" s="33" t="s">
        <v>116</v>
      </c>
      <c r="U2" s="60"/>
      <c r="V2" s="60"/>
      <c r="W2" s="60"/>
      <c r="X2" s="60"/>
      <c r="Y2" s="60"/>
      <c r="Z2" s="60"/>
      <c r="AA2" s="59"/>
      <c r="AB2" s="59"/>
    </row>
    <row r="3" spans="1:28" ht="12.75">
      <c r="A3" s="61"/>
      <c r="B3" s="26" t="s">
        <v>117</v>
      </c>
      <c r="C3" s="26" t="s">
        <v>67</v>
      </c>
      <c r="D3" s="26" t="s">
        <v>66</v>
      </c>
      <c r="E3" s="26" t="s">
        <v>118</v>
      </c>
      <c r="F3" s="26" t="s">
        <v>118</v>
      </c>
      <c r="G3" s="26" t="s">
        <v>118</v>
      </c>
      <c r="H3" s="26" t="s">
        <v>118</v>
      </c>
      <c r="I3" s="26" t="s">
        <v>118</v>
      </c>
      <c r="J3" s="26" t="s">
        <v>118</v>
      </c>
      <c r="K3" s="26" t="s">
        <v>118</v>
      </c>
      <c r="L3" s="26" t="s">
        <v>118</v>
      </c>
      <c r="M3" s="26" t="s">
        <v>118</v>
      </c>
      <c r="N3" s="26" t="s">
        <v>118</v>
      </c>
      <c r="O3" s="26" t="s">
        <v>118</v>
      </c>
      <c r="P3" s="26" t="s">
        <v>118</v>
      </c>
      <c r="Q3" s="26" t="s">
        <v>118</v>
      </c>
      <c r="R3" s="26" t="s">
        <v>118</v>
      </c>
      <c r="S3" s="26" t="s">
        <v>118</v>
      </c>
      <c r="T3" s="26" t="s">
        <v>118</v>
      </c>
      <c r="U3" s="26" t="s">
        <v>118</v>
      </c>
      <c r="V3" s="26" t="s">
        <v>118</v>
      </c>
      <c r="W3" s="26" t="s">
        <v>118</v>
      </c>
      <c r="X3" s="26" t="s">
        <v>118</v>
      </c>
      <c r="Y3" s="26" t="s">
        <v>118</v>
      </c>
      <c r="Z3" s="26" t="s">
        <v>78</v>
      </c>
      <c r="AA3" s="26" t="s">
        <v>118</v>
      </c>
      <c r="AB3" s="26" t="s">
        <v>118</v>
      </c>
    </row>
    <row r="4" spans="1:28" ht="12.75">
      <c r="A4" s="27" t="s">
        <v>16</v>
      </c>
      <c r="B4" s="34">
        <v>107</v>
      </c>
      <c r="C4" s="34">
        <v>11.7</v>
      </c>
      <c r="D4" s="34">
        <v>2790</v>
      </c>
      <c r="E4" s="34">
        <v>5.2</v>
      </c>
      <c r="F4" s="34">
        <v>4.4</v>
      </c>
      <c r="G4" s="34">
        <v>3.6</v>
      </c>
      <c r="H4" s="34">
        <v>2.9</v>
      </c>
      <c r="I4" s="34">
        <v>3.7</v>
      </c>
      <c r="J4" s="34">
        <v>2.9</v>
      </c>
      <c r="K4" s="34">
        <v>1.8</v>
      </c>
      <c r="L4" s="34">
        <v>1.4</v>
      </c>
      <c r="M4" s="34">
        <v>4.1</v>
      </c>
      <c r="N4" s="34">
        <v>3.3</v>
      </c>
      <c r="O4" s="34">
        <v>3.6</v>
      </c>
      <c r="P4" s="34">
        <v>2.7</v>
      </c>
      <c r="Q4" s="34">
        <v>1.3</v>
      </c>
      <c r="R4" s="34">
        <v>0.9</v>
      </c>
      <c r="S4" s="34">
        <v>5.2</v>
      </c>
      <c r="T4" s="34">
        <v>4.2</v>
      </c>
      <c r="U4" s="34">
        <v>0.6000000000000001</v>
      </c>
      <c r="V4" s="34">
        <v>1.4</v>
      </c>
      <c r="W4" s="31">
        <v>0.1</v>
      </c>
      <c r="X4" s="31">
        <v>1</v>
      </c>
      <c r="Y4" s="31">
        <v>4.8</v>
      </c>
      <c r="Z4" s="31">
        <v>990</v>
      </c>
      <c r="AA4" s="34">
        <v>8.6</v>
      </c>
      <c r="AB4" s="34">
        <v>880</v>
      </c>
    </row>
    <row r="5" spans="1:28" ht="12.75">
      <c r="A5" s="27" t="s">
        <v>17</v>
      </c>
      <c r="B5" s="34">
        <v>87</v>
      </c>
      <c r="C5" s="34">
        <v>13.7</v>
      </c>
      <c r="D5" s="34">
        <v>3275</v>
      </c>
      <c r="E5" s="34">
        <v>4</v>
      </c>
      <c r="F5" s="34">
        <v>3.6</v>
      </c>
      <c r="G5" s="34">
        <v>2.9</v>
      </c>
      <c r="H5" s="34">
        <v>2.6</v>
      </c>
      <c r="I5" s="34">
        <v>2.6</v>
      </c>
      <c r="J5" s="34">
        <v>2.1</v>
      </c>
      <c r="K5" s="34">
        <v>1.9</v>
      </c>
      <c r="L5" s="34">
        <v>1.7000000000000002</v>
      </c>
      <c r="M5" s="34">
        <v>3.7</v>
      </c>
      <c r="N5" s="34">
        <v>3.4</v>
      </c>
      <c r="O5" s="34">
        <v>3.1</v>
      </c>
      <c r="P5" s="34">
        <v>2.6</v>
      </c>
      <c r="Q5" s="34">
        <v>0.7</v>
      </c>
      <c r="R5" s="34">
        <v>0.6000000000000001</v>
      </c>
      <c r="S5" s="34">
        <v>4</v>
      </c>
      <c r="T5" s="34">
        <v>3.5</v>
      </c>
      <c r="U5" s="34">
        <v>0.30000000000000004</v>
      </c>
      <c r="V5" s="34">
        <v>0.9</v>
      </c>
      <c r="W5" s="31">
        <v>0.1</v>
      </c>
      <c r="X5" s="31">
        <v>0.5</v>
      </c>
      <c r="Y5" s="31">
        <v>3.6</v>
      </c>
      <c r="Z5" s="31">
        <v>620</v>
      </c>
      <c r="AA5" s="34">
        <v>18.8</v>
      </c>
      <c r="AB5" s="34">
        <v>880</v>
      </c>
    </row>
    <row r="6" spans="1:28" ht="12.75">
      <c r="A6" s="27" t="s">
        <v>18</v>
      </c>
      <c r="B6" s="34">
        <v>119</v>
      </c>
      <c r="C6" s="34">
        <v>12.7</v>
      </c>
      <c r="D6" s="34">
        <v>3020</v>
      </c>
      <c r="E6" s="34">
        <v>5.7</v>
      </c>
      <c r="F6" s="34">
        <v>4.9</v>
      </c>
      <c r="G6" s="34">
        <v>3.9</v>
      </c>
      <c r="H6" s="34">
        <v>3.5</v>
      </c>
      <c r="I6" s="34">
        <v>3.3</v>
      </c>
      <c r="J6" s="34">
        <v>2.7</v>
      </c>
      <c r="K6" s="34">
        <v>1.9</v>
      </c>
      <c r="L6" s="34">
        <v>1.6</v>
      </c>
      <c r="M6" s="34">
        <v>4.6</v>
      </c>
      <c r="N6" s="34">
        <v>4</v>
      </c>
      <c r="O6" s="34">
        <v>3.4</v>
      </c>
      <c r="P6" s="34">
        <v>2.8</v>
      </c>
      <c r="Q6" s="34">
        <v>1.4</v>
      </c>
      <c r="R6" s="34">
        <v>1.3</v>
      </c>
      <c r="S6" s="34">
        <v>5</v>
      </c>
      <c r="T6" s="34">
        <v>4.3</v>
      </c>
      <c r="U6" s="34">
        <v>0.7</v>
      </c>
      <c r="V6" s="34">
        <v>1.3</v>
      </c>
      <c r="W6" s="31">
        <v>0.1</v>
      </c>
      <c r="X6" s="31">
        <v>0.4</v>
      </c>
      <c r="Y6" s="31">
        <v>4.2</v>
      </c>
      <c r="Z6" s="31">
        <v>1000</v>
      </c>
      <c r="AA6" s="34">
        <v>6.8</v>
      </c>
      <c r="AB6" s="34">
        <v>880</v>
      </c>
    </row>
    <row r="7" spans="1:28" ht="12.75">
      <c r="A7" s="27" t="s">
        <v>19</v>
      </c>
      <c r="B7" s="34">
        <v>101</v>
      </c>
      <c r="C7" s="34">
        <v>13.5</v>
      </c>
      <c r="D7" s="34">
        <v>3215</v>
      </c>
      <c r="E7" s="34">
        <v>3.9</v>
      </c>
      <c r="F7" s="34">
        <v>3.1</v>
      </c>
      <c r="G7" s="34">
        <v>3.9</v>
      </c>
      <c r="H7" s="34">
        <v>3.5</v>
      </c>
      <c r="I7" s="34">
        <v>2.3</v>
      </c>
      <c r="J7" s="34">
        <v>1.8</v>
      </c>
      <c r="K7" s="34">
        <v>1.7000000000000002</v>
      </c>
      <c r="L7" s="34">
        <v>1.5</v>
      </c>
      <c r="M7" s="34">
        <v>3.6</v>
      </c>
      <c r="N7" s="34">
        <v>3</v>
      </c>
      <c r="O7" s="34">
        <v>3.3</v>
      </c>
      <c r="P7" s="34">
        <v>2.6</v>
      </c>
      <c r="Q7" s="34">
        <v>1.1</v>
      </c>
      <c r="R7" s="34">
        <v>1</v>
      </c>
      <c r="S7" s="34">
        <v>5</v>
      </c>
      <c r="T7" s="34">
        <v>4.3</v>
      </c>
      <c r="U7" s="34">
        <v>0.4</v>
      </c>
      <c r="V7" s="34">
        <v>0.9</v>
      </c>
      <c r="W7" s="31">
        <v>0.1</v>
      </c>
      <c r="X7" s="31">
        <v>0.7</v>
      </c>
      <c r="Y7" s="31">
        <v>3.8</v>
      </c>
      <c r="Z7" s="31">
        <v>660</v>
      </c>
      <c r="AA7" s="34">
        <v>12.2</v>
      </c>
      <c r="AB7" s="34">
        <v>880</v>
      </c>
    </row>
    <row r="8" spans="1:28" ht="12.75">
      <c r="A8" s="27" t="s">
        <v>20</v>
      </c>
      <c r="B8" s="34">
        <v>112</v>
      </c>
      <c r="C8" s="34">
        <v>11</v>
      </c>
      <c r="D8" s="34">
        <v>2620</v>
      </c>
      <c r="E8" s="34">
        <v>7.1</v>
      </c>
      <c r="F8" s="34">
        <v>6.7</v>
      </c>
      <c r="G8" s="34">
        <v>4</v>
      </c>
      <c r="H8" s="34">
        <v>3.5</v>
      </c>
      <c r="I8" s="34">
        <v>4.4</v>
      </c>
      <c r="J8" s="34">
        <v>3.8</v>
      </c>
      <c r="K8" s="34">
        <v>1.8</v>
      </c>
      <c r="L8" s="34">
        <v>1.6</v>
      </c>
      <c r="M8" s="34">
        <v>5</v>
      </c>
      <c r="N8" s="34">
        <v>4.3</v>
      </c>
      <c r="O8" s="34">
        <v>3.7</v>
      </c>
      <c r="P8" s="34">
        <v>3.1</v>
      </c>
      <c r="Q8" s="34">
        <v>1.6</v>
      </c>
      <c r="R8" s="34">
        <v>1.2</v>
      </c>
      <c r="S8" s="34">
        <v>5.5</v>
      </c>
      <c r="T8" s="34">
        <v>4.8</v>
      </c>
      <c r="U8" s="34">
        <v>1.1</v>
      </c>
      <c r="V8" s="34">
        <v>1.7000000000000002</v>
      </c>
      <c r="W8" s="31">
        <v>0.1</v>
      </c>
      <c r="X8" s="31">
        <v>0.7</v>
      </c>
      <c r="Y8" s="31">
        <v>4.7</v>
      </c>
      <c r="Z8" s="31">
        <v>950</v>
      </c>
      <c r="AA8" s="34">
        <v>16.8</v>
      </c>
      <c r="AB8" s="34">
        <v>880</v>
      </c>
    </row>
    <row r="9" spans="1:28" ht="12.75">
      <c r="A9" s="27" t="s">
        <v>21</v>
      </c>
      <c r="B9" s="34">
        <v>209</v>
      </c>
      <c r="C9" s="34">
        <v>8</v>
      </c>
      <c r="D9" s="34">
        <v>1915</v>
      </c>
      <c r="E9" s="34">
        <v>8.8</v>
      </c>
      <c r="F9" s="34">
        <v>7.7</v>
      </c>
      <c r="G9" s="34">
        <v>6</v>
      </c>
      <c r="H9" s="34">
        <v>4.9</v>
      </c>
      <c r="I9" s="34">
        <v>6.3</v>
      </c>
      <c r="J9" s="34">
        <v>4.9</v>
      </c>
      <c r="K9" s="34">
        <v>3.5</v>
      </c>
      <c r="L9" s="34">
        <v>2.9</v>
      </c>
      <c r="M9" s="34">
        <v>8</v>
      </c>
      <c r="N9" s="34">
        <v>6</v>
      </c>
      <c r="O9" s="34">
        <v>7.5</v>
      </c>
      <c r="P9" s="34">
        <v>5.6</v>
      </c>
      <c r="Q9" s="34">
        <v>1.4</v>
      </c>
      <c r="R9" s="34">
        <v>1.2</v>
      </c>
      <c r="S9" s="34">
        <v>10</v>
      </c>
      <c r="T9" s="34">
        <v>8.3</v>
      </c>
      <c r="U9" s="34">
        <v>1.2</v>
      </c>
      <c r="V9" s="34">
        <v>3.7</v>
      </c>
      <c r="W9" s="31">
        <v>2.4</v>
      </c>
      <c r="X9" s="31">
        <v>2.1</v>
      </c>
      <c r="Y9" s="31">
        <v>12.6</v>
      </c>
      <c r="Z9" s="31">
        <v>1510</v>
      </c>
      <c r="AA9" s="34">
        <v>17.2</v>
      </c>
      <c r="AB9" s="34">
        <v>890</v>
      </c>
    </row>
    <row r="10" spans="1:28" ht="12.75">
      <c r="A10" s="27" t="s">
        <v>22</v>
      </c>
      <c r="B10" s="34">
        <v>607</v>
      </c>
      <c r="C10" s="34">
        <v>14.9</v>
      </c>
      <c r="D10" s="34">
        <v>3565</v>
      </c>
      <c r="E10" s="34">
        <v>18.8</v>
      </c>
      <c r="F10" s="34">
        <v>17.8</v>
      </c>
      <c r="G10" s="34">
        <v>24</v>
      </c>
      <c r="H10" s="34">
        <v>22.8</v>
      </c>
      <c r="I10" s="34">
        <v>9.8</v>
      </c>
      <c r="J10" s="34">
        <v>8.7</v>
      </c>
      <c r="K10" s="34">
        <v>14.5</v>
      </c>
      <c r="L10" s="34">
        <v>13.7</v>
      </c>
      <c r="M10" s="34">
        <v>25.3</v>
      </c>
      <c r="N10" s="34">
        <v>23.3</v>
      </c>
      <c r="O10" s="34">
        <v>20.4</v>
      </c>
      <c r="P10" s="34">
        <v>18.7</v>
      </c>
      <c r="Q10" s="34">
        <v>3.3</v>
      </c>
      <c r="R10" s="34">
        <v>2.7</v>
      </c>
      <c r="S10" s="34">
        <v>27.4</v>
      </c>
      <c r="T10" s="34">
        <v>26</v>
      </c>
      <c r="U10" s="34">
        <v>0.4</v>
      </c>
      <c r="V10" s="34">
        <v>1.8</v>
      </c>
      <c r="W10" s="31">
        <v>0.1</v>
      </c>
      <c r="X10" s="31">
        <v>0.5</v>
      </c>
      <c r="Y10" s="31">
        <v>1.6</v>
      </c>
      <c r="Z10" s="31">
        <v>330</v>
      </c>
      <c r="AA10" s="34">
        <v>16.3</v>
      </c>
      <c r="AB10" s="34">
        <v>890</v>
      </c>
    </row>
    <row r="11" spans="1:28" ht="12.75">
      <c r="A11" s="27" t="s">
        <v>23</v>
      </c>
      <c r="B11" s="34">
        <v>156</v>
      </c>
      <c r="C11" s="34">
        <v>7.6</v>
      </c>
      <c r="D11" s="34">
        <v>1825</v>
      </c>
      <c r="E11" s="34">
        <v>9.8</v>
      </c>
      <c r="F11" s="34">
        <v>8.7</v>
      </c>
      <c r="G11" s="34">
        <v>4.7</v>
      </c>
      <c r="H11" s="34">
        <v>3.7</v>
      </c>
      <c r="I11" s="34">
        <v>5.9</v>
      </c>
      <c r="J11" s="34">
        <v>4.9</v>
      </c>
      <c r="K11" s="34">
        <v>2.4</v>
      </c>
      <c r="L11" s="34">
        <v>1.8</v>
      </c>
      <c r="M11" s="34">
        <v>5.6</v>
      </c>
      <c r="N11" s="34">
        <v>4.2</v>
      </c>
      <c r="O11" s="34">
        <v>4.9</v>
      </c>
      <c r="P11" s="34">
        <v>3.7</v>
      </c>
      <c r="Q11" s="34">
        <v>2.2</v>
      </c>
      <c r="R11" s="34">
        <v>1.8</v>
      </c>
      <c r="S11" s="34">
        <v>7</v>
      </c>
      <c r="T11" s="34">
        <v>5</v>
      </c>
      <c r="U11" s="34">
        <v>1</v>
      </c>
      <c r="V11" s="34">
        <v>2.9</v>
      </c>
      <c r="W11" s="31">
        <v>0.30000000000000004</v>
      </c>
      <c r="X11" s="31">
        <v>0.30000000000000004</v>
      </c>
      <c r="Y11" s="31">
        <v>13.7</v>
      </c>
      <c r="Z11" s="31">
        <v>1440</v>
      </c>
      <c r="AA11" s="34">
        <v>14</v>
      </c>
      <c r="AB11" s="34">
        <v>870</v>
      </c>
    </row>
    <row r="12" spans="1:28" ht="12.75">
      <c r="A12" s="27" t="s">
        <v>24</v>
      </c>
      <c r="B12" s="34">
        <v>150</v>
      </c>
      <c r="C12" s="34">
        <v>6.2</v>
      </c>
      <c r="D12" s="34">
        <v>1475</v>
      </c>
      <c r="E12" s="34">
        <v>9.9</v>
      </c>
      <c r="F12" s="34">
        <v>8.2</v>
      </c>
      <c r="G12" s="34">
        <v>4.5</v>
      </c>
      <c r="H12" s="34">
        <v>3.6</v>
      </c>
      <c r="I12" s="34">
        <v>5.8</v>
      </c>
      <c r="J12" s="34">
        <v>4.3</v>
      </c>
      <c r="K12" s="34">
        <v>2.2</v>
      </c>
      <c r="L12" s="34">
        <v>1.8</v>
      </c>
      <c r="M12" s="34">
        <v>5.3</v>
      </c>
      <c r="N12" s="34">
        <v>4.1</v>
      </c>
      <c r="O12" s="34">
        <v>4.7</v>
      </c>
      <c r="P12" s="34">
        <v>3.5</v>
      </c>
      <c r="Q12" s="34">
        <v>2.2</v>
      </c>
      <c r="R12" s="34">
        <v>1.8</v>
      </c>
      <c r="S12" s="34">
        <v>6.8</v>
      </c>
      <c r="T12" s="34">
        <v>5.3</v>
      </c>
      <c r="U12" s="34">
        <v>1.9</v>
      </c>
      <c r="V12" s="34">
        <v>3.5</v>
      </c>
      <c r="W12" s="31">
        <v>0.4</v>
      </c>
      <c r="X12" s="31">
        <v>1.3</v>
      </c>
      <c r="Y12" s="31">
        <v>12.5</v>
      </c>
      <c r="Z12" s="31">
        <v>1230</v>
      </c>
      <c r="AA12" s="34">
        <v>14</v>
      </c>
      <c r="AB12" s="34">
        <v>870</v>
      </c>
    </row>
    <row r="13" spans="1:28" ht="12.75">
      <c r="A13" s="27" t="s">
        <v>25</v>
      </c>
      <c r="B13" s="34">
        <v>129</v>
      </c>
      <c r="C13" s="34">
        <v>9.9</v>
      </c>
      <c r="D13" s="34">
        <v>2370</v>
      </c>
      <c r="E13" s="34">
        <v>9.9</v>
      </c>
      <c r="F13" s="34">
        <v>8.4</v>
      </c>
      <c r="G13" s="34">
        <v>4.5</v>
      </c>
      <c r="H13" s="34">
        <v>3.4</v>
      </c>
      <c r="I13" s="34">
        <v>5.7</v>
      </c>
      <c r="J13" s="34">
        <v>4.2</v>
      </c>
      <c r="K13" s="34">
        <v>2.6</v>
      </c>
      <c r="L13" s="34">
        <v>2</v>
      </c>
      <c r="M13" s="34">
        <v>5.4</v>
      </c>
      <c r="N13" s="34">
        <v>3.9</v>
      </c>
      <c r="O13" s="34">
        <v>4.8</v>
      </c>
      <c r="P13" s="34">
        <v>3.3</v>
      </c>
      <c r="Q13" s="34">
        <v>1.7000000000000002</v>
      </c>
      <c r="R13" s="34">
        <v>1.3</v>
      </c>
      <c r="S13" s="34">
        <v>7</v>
      </c>
      <c r="T13" s="34">
        <v>5.2</v>
      </c>
      <c r="U13" s="34">
        <v>1</v>
      </c>
      <c r="V13" s="34">
        <v>2.5</v>
      </c>
      <c r="W13" s="31">
        <v>0.1</v>
      </c>
      <c r="X13" s="31">
        <v>0.4</v>
      </c>
      <c r="Y13" s="31">
        <v>10.6</v>
      </c>
      <c r="Z13" s="31">
        <v>1130</v>
      </c>
      <c r="AA13" s="34">
        <v>38.5</v>
      </c>
      <c r="AB13" s="34">
        <v>890</v>
      </c>
    </row>
    <row r="14" spans="1:28" ht="12.75">
      <c r="A14" s="27" t="s">
        <v>26</v>
      </c>
      <c r="B14" s="34">
        <v>147</v>
      </c>
      <c r="C14" s="34">
        <v>6.8</v>
      </c>
      <c r="D14" s="34">
        <v>1610</v>
      </c>
      <c r="E14" s="34">
        <v>5.2</v>
      </c>
      <c r="F14" s="34">
        <v>4.5</v>
      </c>
      <c r="G14" s="34">
        <v>10.3</v>
      </c>
      <c r="H14" s="34">
        <v>7.6</v>
      </c>
      <c r="I14" s="34">
        <v>6.6</v>
      </c>
      <c r="J14" s="34">
        <v>4.8</v>
      </c>
      <c r="K14" s="34">
        <v>2.9</v>
      </c>
      <c r="L14" s="34">
        <v>2.2</v>
      </c>
      <c r="M14" s="34">
        <v>5.9</v>
      </c>
      <c r="N14" s="34">
        <v>4.2</v>
      </c>
      <c r="O14" s="34">
        <v>5.4</v>
      </c>
      <c r="P14" s="34">
        <v>3.7</v>
      </c>
      <c r="Q14" s="34">
        <v>1.8</v>
      </c>
      <c r="R14" s="34">
        <v>1.4</v>
      </c>
      <c r="S14" s="34">
        <v>7.9</v>
      </c>
      <c r="T14" s="34">
        <v>5.9</v>
      </c>
      <c r="U14" s="34">
        <v>1.4</v>
      </c>
      <c r="V14" s="34">
        <v>2.8</v>
      </c>
      <c r="W14" s="31">
        <v>0.2</v>
      </c>
      <c r="X14" s="31">
        <v>0.7</v>
      </c>
      <c r="Y14" s="31">
        <v>12.1</v>
      </c>
      <c r="Z14" s="31">
        <v>1230</v>
      </c>
      <c r="AA14" s="34">
        <v>3.6</v>
      </c>
      <c r="AB14" s="34">
        <v>890</v>
      </c>
    </row>
    <row r="15" spans="1:28" ht="12.75">
      <c r="A15" s="27" t="s">
        <v>27</v>
      </c>
      <c r="B15" s="34">
        <v>300</v>
      </c>
      <c r="C15" s="34">
        <v>11.2</v>
      </c>
      <c r="D15" s="34">
        <v>2665</v>
      </c>
      <c r="E15" s="34">
        <v>25.9</v>
      </c>
      <c r="F15" s="34">
        <v>24.1</v>
      </c>
      <c r="G15" s="34">
        <v>11.8</v>
      </c>
      <c r="H15" s="34">
        <v>10.2</v>
      </c>
      <c r="I15" s="34">
        <v>18.5</v>
      </c>
      <c r="J15" s="34">
        <v>16.3</v>
      </c>
      <c r="K15" s="34">
        <v>2.1</v>
      </c>
      <c r="L15" s="34">
        <v>1.6</v>
      </c>
      <c r="M15" s="34">
        <v>5.9</v>
      </c>
      <c r="N15" s="34">
        <v>4.4</v>
      </c>
      <c r="O15" s="34">
        <v>10.2</v>
      </c>
      <c r="P15" s="34">
        <v>9</v>
      </c>
      <c r="Q15" s="34">
        <v>2.6</v>
      </c>
      <c r="R15" s="34">
        <v>2.1</v>
      </c>
      <c r="S15" s="34">
        <v>13.2</v>
      </c>
      <c r="T15" s="34">
        <v>11</v>
      </c>
      <c r="U15" s="34">
        <v>1.1</v>
      </c>
      <c r="V15" s="34">
        <v>2.3</v>
      </c>
      <c r="W15" s="31">
        <v>0.2</v>
      </c>
      <c r="X15" s="31">
        <v>0.7</v>
      </c>
      <c r="Y15" s="31">
        <v>13.4</v>
      </c>
      <c r="Z15" s="31">
        <v>1670</v>
      </c>
      <c r="AA15" s="34">
        <v>5.2</v>
      </c>
      <c r="AB15" s="34">
        <v>870</v>
      </c>
    </row>
    <row r="16" spans="1:28" ht="12.75">
      <c r="A16" s="27" t="s">
        <v>28</v>
      </c>
      <c r="B16" s="34">
        <v>227</v>
      </c>
      <c r="C16" s="34">
        <v>11.4</v>
      </c>
      <c r="D16" s="34">
        <v>2715</v>
      </c>
      <c r="E16" s="34">
        <v>19</v>
      </c>
      <c r="F16" s="34">
        <v>17.5</v>
      </c>
      <c r="G16" s="34">
        <v>9.1</v>
      </c>
      <c r="H16" s="34">
        <v>8.3</v>
      </c>
      <c r="I16" s="34">
        <v>16.1</v>
      </c>
      <c r="J16" s="34">
        <v>14.8</v>
      </c>
      <c r="K16" s="34">
        <v>2.2</v>
      </c>
      <c r="L16" s="34">
        <v>1.8</v>
      </c>
      <c r="M16" s="34">
        <v>5.4</v>
      </c>
      <c r="N16" s="34">
        <v>4.1</v>
      </c>
      <c r="O16" s="34">
        <v>8.4</v>
      </c>
      <c r="P16" s="34">
        <v>7.1</v>
      </c>
      <c r="Q16" s="34">
        <v>2.1</v>
      </c>
      <c r="R16" s="34">
        <v>1.8</v>
      </c>
      <c r="S16" s="34">
        <v>10.4</v>
      </c>
      <c r="T16" s="34">
        <v>9.1</v>
      </c>
      <c r="U16" s="34">
        <v>1.1</v>
      </c>
      <c r="V16" s="34">
        <v>1.8</v>
      </c>
      <c r="W16" s="31">
        <v>0.1</v>
      </c>
      <c r="X16" s="31">
        <v>0.6000000000000001</v>
      </c>
      <c r="Y16" s="31">
        <v>11</v>
      </c>
      <c r="Z16" s="31">
        <v>642</v>
      </c>
      <c r="AA16" s="34">
        <v>4</v>
      </c>
      <c r="AB16" s="34">
        <v>870</v>
      </c>
    </row>
    <row r="17" spans="1:28" ht="25.5">
      <c r="A17" s="28" t="s">
        <v>29</v>
      </c>
      <c r="B17" s="34">
        <v>356</v>
      </c>
      <c r="C17" s="34">
        <v>14.4</v>
      </c>
      <c r="D17" s="34">
        <v>3450</v>
      </c>
      <c r="E17" s="34">
        <v>26</v>
      </c>
      <c r="F17" s="34">
        <v>22.6</v>
      </c>
      <c r="G17" s="34">
        <v>16</v>
      </c>
      <c r="H17" s="34">
        <v>13.9</v>
      </c>
      <c r="I17" s="34">
        <v>21.6</v>
      </c>
      <c r="J17" s="34">
        <v>19</v>
      </c>
      <c r="K17" s="34">
        <v>4.9</v>
      </c>
      <c r="L17" s="34">
        <v>4.2</v>
      </c>
      <c r="M17" s="34">
        <v>10.5</v>
      </c>
      <c r="N17" s="34">
        <v>8.7</v>
      </c>
      <c r="O17" s="34">
        <v>14</v>
      </c>
      <c r="P17" s="34">
        <v>11.9</v>
      </c>
      <c r="Q17" s="34">
        <v>4.8</v>
      </c>
      <c r="R17" s="34">
        <v>3.5</v>
      </c>
      <c r="S17" s="34">
        <v>17.1</v>
      </c>
      <c r="T17" s="34">
        <v>14.7</v>
      </c>
      <c r="U17" s="34">
        <v>2.3</v>
      </c>
      <c r="V17" s="34">
        <v>2.2</v>
      </c>
      <c r="W17" s="31">
        <v>0.1</v>
      </c>
      <c r="X17" s="31">
        <v>0.30000000000000004</v>
      </c>
      <c r="Y17" s="31">
        <v>17.6</v>
      </c>
      <c r="Z17" s="31">
        <v>2860</v>
      </c>
      <c r="AA17" s="34">
        <v>97</v>
      </c>
      <c r="AB17" s="34">
        <v>880</v>
      </c>
    </row>
    <row r="18" spans="1:28" ht="12.75">
      <c r="A18" s="27" t="s">
        <v>30</v>
      </c>
      <c r="B18" s="34">
        <v>473</v>
      </c>
      <c r="C18" s="34">
        <v>9.3</v>
      </c>
      <c r="D18" s="34">
        <v>2230</v>
      </c>
      <c r="E18" s="34">
        <v>34</v>
      </c>
      <c r="F18" s="34">
        <v>32.6</v>
      </c>
      <c r="G18" s="34">
        <v>20.9</v>
      </c>
      <c r="H18" s="34">
        <v>19.4</v>
      </c>
      <c r="I18" s="34">
        <v>28</v>
      </c>
      <c r="J18" s="34">
        <v>25.5</v>
      </c>
      <c r="K18" s="34">
        <v>6.4</v>
      </c>
      <c r="L18" s="34">
        <v>5.9</v>
      </c>
      <c r="M18" s="34">
        <v>13.4</v>
      </c>
      <c r="N18" s="34">
        <v>11.8</v>
      </c>
      <c r="O18" s="34">
        <v>18.1</v>
      </c>
      <c r="P18" s="34">
        <v>16.3</v>
      </c>
      <c r="Q18" s="34">
        <v>6.2</v>
      </c>
      <c r="R18" s="34">
        <v>5.4</v>
      </c>
      <c r="S18" s="34">
        <v>22.1</v>
      </c>
      <c r="T18" s="34">
        <v>20.1</v>
      </c>
      <c r="U18" s="34">
        <v>2.7</v>
      </c>
      <c r="V18" s="34">
        <v>2.7</v>
      </c>
      <c r="W18" s="31">
        <v>0.2</v>
      </c>
      <c r="X18" s="31">
        <v>0.30000000000000004</v>
      </c>
      <c r="Y18" s="31">
        <v>22.6</v>
      </c>
      <c r="Z18" s="31">
        <v>2730</v>
      </c>
      <c r="AA18" s="34">
        <v>7</v>
      </c>
      <c r="AB18" s="34">
        <v>870</v>
      </c>
    </row>
    <row r="19" spans="1:28" ht="12.75">
      <c r="A19" s="27" t="s">
        <v>31</v>
      </c>
      <c r="B19" s="34">
        <v>386</v>
      </c>
      <c r="C19" s="34">
        <v>6.7</v>
      </c>
      <c r="D19" s="34">
        <v>1600</v>
      </c>
      <c r="E19" s="34">
        <v>31.6</v>
      </c>
      <c r="F19" s="34">
        <v>28.8</v>
      </c>
      <c r="G19" s="34">
        <v>15.8</v>
      </c>
      <c r="H19" s="34">
        <v>14.2</v>
      </c>
      <c r="I19" s="34">
        <v>13.6</v>
      </c>
      <c r="J19" s="34">
        <v>11.6</v>
      </c>
      <c r="K19" s="34">
        <v>8.7</v>
      </c>
      <c r="L19" s="34">
        <v>7.5</v>
      </c>
      <c r="M19" s="34">
        <v>15.3</v>
      </c>
      <c r="N19" s="34">
        <v>12</v>
      </c>
      <c r="O19" s="34">
        <v>14.1</v>
      </c>
      <c r="P19" s="34">
        <v>10.5</v>
      </c>
      <c r="Q19" s="34">
        <v>5.1</v>
      </c>
      <c r="R19" s="34">
        <v>4.1</v>
      </c>
      <c r="S19" s="34">
        <v>19.3</v>
      </c>
      <c r="T19" s="34">
        <v>16.3</v>
      </c>
      <c r="U19" s="34">
        <v>3.7</v>
      </c>
      <c r="V19" s="34">
        <v>2.9</v>
      </c>
      <c r="W19" s="31">
        <v>0.30000000000000004</v>
      </c>
      <c r="X19" s="31">
        <v>1.2</v>
      </c>
      <c r="Y19" s="31">
        <v>14.7</v>
      </c>
      <c r="Z19" s="31">
        <v>2890</v>
      </c>
      <c r="AA19" s="34">
        <v>6.8</v>
      </c>
      <c r="AB19" s="34">
        <v>900</v>
      </c>
    </row>
    <row r="20" spans="1:28" ht="12.75">
      <c r="A20" s="27" t="s">
        <v>32</v>
      </c>
      <c r="B20" s="34">
        <v>343</v>
      </c>
      <c r="C20" s="34">
        <v>7.1</v>
      </c>
      <c r="D20" s="34">
        <v>1700</v>
      </c>
      <c r="E20" s="34">
        <v>20.2</v>
      </c>
      <c r="F20" s="34">
        <v>18.2</v>
      </c>
      <c r="G20" s="34">
        <v>13.3</v>
      </c>
      <c r="H20" s="34">
        <v>11</v>
      </c>
      <c r="I20" s="34">
        <v>18.2</v>
      </c>
      <c r="J20" s="34">
        <v>14.6</v>
      </c>
      <c r="K20" s="34">
        <v>6.9</v>
      </c>
      <c r="L20" s="34">
        <v>6.1</v>
      </c>
      <c r="M20" s="34">
        <v>15</v>
      </c>
      <c r="N20" s="34">
        <v>12.2</v>
      </c>
      <c r="O20" s="34">
        <v>14.8</v>
      </c>
      <c r="P20" s="34">
        <v>22.9</v>
      </c>
      <c r="Q20" s="34">
        <v>4.5</v>
      </c>
      <c r="R20" s="34">
        <v>3.7</v>
      </c>
      <c r="S20" s="34">
        <v>17.5</v>
      </c>
      <c r="T20" s="34">
        <v>14.6</v>
      </c>
      <c r="U20" s="34">
        <v>7.3</v>
      </c>
      <c r="V20" s="34">
        <v>3.6</v>
      </c>
      <c r="W20" s="31">
        <v>0.30000000000000004</v>
      </c>
      <c r="X20" s="31">
        <v>0.30000000000000004</v>
      </c>
      <c r="Y20" s="31">
        <v>12.6</v>
      </c>
      <c r="Z20" s="31">
        <v>6700</v>
      </c>
      <c r="AA20" s="34">
        <v>3.1</v>
      </c>
      <c r="AB20" s="34">
        <v>880</v>
      </c>
    </row>
    <row r="21" spans="1:28" ht="12.75">
      <c r="A21" s="27" t="s">
        <v>33</v>
      </c>
      <c r="B21" s="34">
        <v>660</v>
      </c>
      <c r="C21" s="34">
        <v>13.6</v>
      </c>
      <c r="D21" s="34">
        <v>3250</v>
      </c>
      <c r="E21" s="34">
        <v>37.8</v>
      </c>
      <c r="F21" s="34">
        <v>34.8</v>
      </c>
      <c r="G21" s="34">
        <v>27</v>
      </c>
      <c r="H21" s="34">
        <v>24.9</v>
      </c>
      <c r="I21" s="34">
        <v>49.5</v>
      </c>
      <c r="J21" s="34">
        <v>44</v>
      </c>
      <c r="K21" s="34">
        <v>18.3</v>
      </c>
      <c r="L21" s="34">
        <v>16.8</v>
      </c>
      <c r="M21" s="34">
        <v>24.3</v>
      </c>
      <c r="N21" s="34">
        <v>21.2</v>
      </c>
      <c r="O21" s="34">
        <v>27.2</v>
      </c>
      <c r="P21" s="34">
        <v>24.5</v>
      </c>
      <c r="Q21" s="34">
        <v>7.1</v>
      </c>
      <c r="R21" s="34">
        <v>6.3</v>
      </c>
      <c r="S21" s="34">
        <v>32.3</v>
      </c>
      <c r="T21" s="34">
        <v>29.7</v>
      </c>
      <c r="U21" s="34">
        <v>34.9</v>
      </c>
      <c r="V21" s="34">
        <v>17.6</v>
      </c>
      <c r="W21" s="31">
        <v>10.3</v>
      </c>
      <c r="X21" s="31">
        <v>15.8</v>
      </c>
      <c r="Y21" s="31">
        <v>10</v>
      </c>
      <c r="Z21" s="31">
        <v>3050</v>
      </c>
      <c r="AA21" s="34">
        <v>0.1</v>
      </c>
      <c r="AB21" s="34">
        <v>910</v>
      </c>
    </row>
    <row r="22" spans="1:28" ht="12.75">
      <c r="A22" s="27" t="s">
        <v>34</v>
      </c>
      <c r="B22" s="34">
        <v>706</v>
      </c>
      <c r="C22" s="34">
        <v>14.1</v>
      </c>
      <c r="D22" s="34">
        <v>3360</v>
      </c>
      <c r="E22" s="34">
        <v>40.3</v>
      </c>
      <c r="F22" s="34">
        <v>37</v>
      </c>
      <c r="G22" s="34">
        <v>29.8</v>
      </c>
      <c r="H22" s="34">
        <v>27.4</v>
      </c>
      <c r="I22" s="34">
        <v>54.3</v>
      </c>
      <c r="J22" s="34">
        <v>48.3</v>
      </c>
      <c r="K22" s="34">
        <v>20.5</v>
      </c>
      <c r="L22" s="34">
        <v>18.8</v>
      </c>
      <c r="M22" s="34">
        <v>26.8</v>
      </c>
      <c r="N22" s="34">
        <v>23.3</v>
      </c>
      <c r="O22" s="34">
        <v>30.1</v>
      </c>
      <c r="P22" s="34">
        <v>27.1</v>
      </c>
      <c r="Q22" s="34">
        <v>7.7</v>
      </c>
      <c r="R22" s="34">
        <v>6.8</v>
      </c>
      <c r="S22" s="34">
        <v>35.6</v>
      </c>
      <c r="T22" s="34">
        <v>32.8</v>
      </c>
      <c r="U22" s="34">
        <v>26.4</v>
      </c>
      <c r="V22" s="34">
        <v>15.5</v>
      </c>
      <c r="W22" s="31">
        <v>10.3</v>
      </c>
      <c r="X22" s="31">
        <v>16.2</v>
      </c>
      <c r="Y22" s="31">
        <v>13.9</v>
      </c>
      <c r="Z22" s="31">
        <v>5300</v>
      </c>
      <c r="AA22" s="34">
        <v>0.1</v>
      </c>
      <c r="AB22" s="34">
        <v>910</v>
      </c>
    </row>
    <row r="23" spans="1:28" ht="12.75">
      <c r="A23" s="27" t="s">
        <v>35</v>
      </c>
      <c r="B23" s="34">
        <v>538</v>
      </c>
      <c r="C23" s="34">
        <v>12.6</v>
      </c>
      <c r="D23" s="34">
        <v>3000</v>
      </c>
      <c r="E23" s="34">
        <v>36.7</v>
      </c>
      <c r="F23" s="34">
        <v>29.8</v>
      </c>
      <c r="G23" s="34">
        <v>16</v>
      </c>
      <c r="H23" s="34">
        <v>13</v>
      </c>
      <c r="I23" s="34">
        <v>27.8</v>
      </c>
      <c r="J23" s="34">
        <v>21.8</v>
      </c>
      <c r="K23" s="34">
        <v>7.8</v>
      </c>
      <c r="L23" s="34">
        <v>6.4</v>
      </c>
      <c r="M23" s="34">
        <v>13.6</v>
      </c>
      <c r="N23" s="34">
        <v>9.7</v>
      </c>
      <c r="O23" s="34">
        <v>18.3</v>
      </c>
      <c r="P23" s="34">
        <v>14</v>
      </c>
      <c r="Q23" s="34">
        <v>3.7</v>
      </c>
      <c r="R23" s="34">
        <v>2.8</v>
      </c>
      <c r="S23" s="34">
        <v>24.8</v>
      </c>
      <c r="T23" s="34">
        <v>19.9</v>
      </c>
      <c r="U23" s="34">
        <v>73.3</v>
      </c>
      <c r="V23" s="34">
        <v>22.6</v>
      </c>
      <c r="W23" s="31">
        <v>7.6</v>
      </c>
      <c r="X23" s="31">
        <v>6.3</v>
      </c>
      <c r="Y23" s="31">
        <v>4.8</v>
      </c>
      <c r="Z23" s="31">
        <v>1900</v>
      </c>
      <c r="AA23" s="34">
        <v>8.1</v>
      </c>
      <c r="AB23" s="34">
        <v>940</v>
      </c>
    </row>
  </sheetData>
  <sheetProtection selectLockedCells="1" selectUnlockedCells="1"/>
  <mergeCells count="20">
    <mergeCell ref="A1:A3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S1:T1"/>
    <mergeCell ref="AA1:AA2"/>
    <mergeCell ref="AB1:AB2"/>
    <mergeCell ref="U1:U2"/>
    <mergeCell ref="V1:V2"/>
    <mergeCell ref="W1:W2"/>
    <mergeCell ref="X1:X2"/>
    <mergeCell ref="Y1:Y2"/>
    <mergeCell ref="Z1:Z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30"/>
  <sheetViews>
    <sheetView zoomScale="90" zoomScaleNormal="90" zoomScalePageLayoutView="0" workbookViewId="0" topLeftCell="A1">
      <selection activeCell="B3" sqref="B3"/>
    </sheetView>
  </sheetViews>
  <sheetFormatPr defaultColWidth="11.57421875" defaultRowHeight="12.75"/>
  <cols>
    <col min="1" max="1" width="37.57421875" style="0" customWidth="1"/>
    <col min="2" max="3" width="11.57421875" style="0" customWidth="1"/>
    <col min="4" max="4" width="16.57421875" style="0" customWidth="1"/>
  </cols>
  <sheetData>
    <row r="1" spans="1:21" ht="29.25" customHeight="1">
      <c r="A1" s="61"/>
      <c r="B1" s="62" t="s">
        <v>9</v>
      </c>
      <c r="C1" s="32" t="s">
        <v>38</v>
      </c>
      <c r="D1" s="32" t="s">
        <v>39</v>
      </c>
      <c r="E1" s="33" t="s">
        <v>40</v>
      </c>
      <c r="F1" s="33" t="s">
        <v>41</v>
      </c>
      <c r="G1" s="33" t="s">
        <v>42</v>
      </c>
      <c r="H1" s="33" t="s">
        <v>43</v>
      </c>
      <c r="I1" s="33" t="s">
        <v>44</v>
      </c>
      <c r="J1" s="32" t="s">
        <v>45</v>
      </c>
      <c r="K1" s="33" t="s">
        <v>46</v>
      </c>
      <c r="L1" s="33" t="s">
        <v>47</v>
      </c>
      <c r="M1" s="33" t="s">
        <v>48</v>
      </c>
      <c r="N1" s="33" t="s">
        <v>49</v>
      </c>
      <c r="O1" s="32" t="s">
        <v>50</v>
      </c>
      <c r="P1" s="33" t="s">
        <v>51</v>
      </c>
      <c r="Q1" s="33" t="s">
        <v>52</v>
      </c>
      <c r="R1" s="33" t="s">
        <v>53</v>
      </c>
      <c r="S1" s="33" t="s">
        <v>112</v>
      </c>
      <c r="T1" s="32" t="s">
        <v>113</v>
      </c>
      <c r="U1" s="32" t="s">
        <v>114</v>
      </c>
    </row>
    <row r="2" spans="1:21" ht="29.25" customHeight="1">
      <c r="A2" s="61"/>
      <c r="B2" s="62"/>
      <c r="C2" s="26" t="s">
        <v>117</v>
      </c>
      <c r="D2" s="26" t="s">
        <v>67</v>
      </c>
      <c r="E2" s="26" t="s">
        <v>66</v>
      </c>
      <c r="F2" s="26" t="s">
        <v>118</v>
      </c>
      <c r="G2" s="26" t="s">
        <v>118</v>
      </c>
      <c r="H2" s="26" t="s">
        <v>118</v>
      </c>
      <c r="I2" s="26" t="s">
        <v>118</v>
      </c>
      <c r="J2" s="26" t="s">
        <v>118</v>
      </c>
      <c r="K2" s="26" t="s">
        <v>118</v>
      </c>
      <c r="L2" s="26" t="s">
        <v>118</v>
      </c>
      <c r="M2" s="26" t="s">
        <v>118</v>
      </c>
      <c r="N2" s="26" t="s">
        <v>118</v>
      </c>
      <c r="O2" s="26" t="s">
        <v>118</v>
      </c>
      <c r="P2" s="26" t="s">
        <v>118</v>
      </c>
      <c r="Q2" s="26" t="s">
        <v>118</v>
      </c>
      <c r="R2" s="26" t="s">
        <v>118</v>
      </c>
      <c r="S2" s="26" t="s">
        <v>78</v>
      </c>
      <c r="T2" s="26" t="s">
        <v>118</v>
      </c>
      <c r="U2" s="26" t="s">
        <v>118</v>
      </c>
    </row>
    <row r="3" spans="1:21" ht="12.75">
      <c r="A3" s="27" t="s">
        <v>16</v>
      </c>
      <c r="B3" s="35">
        <f>VLOOKUP(A3,'Пользовательский калькулятор'!A$5:B$24,2,0)</f>
        <v>0</v>
      </c>
      <c r="C3" s="34">
        <f>B3*0.107</f>
        <v>0</v>
      </c>
      <c r="D3" s="34">
        <f>B3*0.0117</f>
        <v>0</v>
      </c>
      <c r="E3" s="34">
        <f>B3*2.79</f>
        <v>0</v>
      </c>
      <c r="F3" s="34">
        <f>B3*0.0044</f>
        <v>0</v>
      </c>
      <c r="G3" s="34">
        <f>B3*0.0029</f>
        <v>0</v>
      </c>
      <c r="H3" s="34">
        <f>B3*0.0029</f>
        <v>0</v>
      </c>
      <c r="I3" s="34">
        <f>B3*0.0014</f>
        <v>0</v>
      </c>
      <c r="J3" s="34">
        <f>B3*0.0033</f>
        <v>0</v>
      </c>
      <c r="K3" s="34">
        <f>B3*0.0027</f>
        <v>0</v>
      </c>
      <c r="L3" s="34">
        <f>B3*0.0009</f>
        <v>0</v>
      </c>
      <c r="M3" s="34">
        <f>B3*0.0042</f>
        <v>0</v>
      </c>
      <c r="N3" s="34">
        <f>B3*0.0006</f>
        <v>0</v>
      </c>
      <c r="O3" s="34">
        <f>B3*0.0014</f>
        <v>0</v>
      </c>
      <c r="P3" s="31">
        <f>B3*0.0001</f>
        <v>0</v>
      </c>
      <c r="Q3" s="31">
        <f>B3*0.001</f>
        <v>0</v>
      </c>
      <c r="R3" s="31">
        <f>B3*0.0048</f>
        <v>0</v>
      </c>
      <c r="S3" s="31">
        <f>B3*0.99</f>
        <v>0</v>
      </c>
      <c r="T3" s="34">
        <f>B3*0.0086</f>
        <v>0</v>
      </c>
      <c r="U3" s="34">
        <f>B3*0.88</f>
        <v>0</v>
      </c>
    </row>
    <row r="4" spans="1:21" ht="12.75">
      <c r="A4" s="27" t="s">
        <v>17</v>
      </c>
      <c r="B4" s="35">
        <f>VLOOKUP(A4,'Пользовательский калькулятор'!A$5:B$24,2,0)</f>
        <v>400</v>
      </c>
      <c r="C4" s="34">
        <f>B4*0.087</f>
        <v>34.800000000000004</v>
      </c>
      <c r="D4" s="34">
        <f>B4*0.0137</f>
        <v>5.48</v>
      </c>
      <c r="E4" s="34">
        <f>B4*3.275</f>
        <v>1310</v>
      </c>
      <c r="F4" s="34">
        <f>B4*0.0036</f>
        <v>1.4400000000000002</v>
      </c>
      <c r="G4" s="34">
        <f>B4*0.0026</f>
        <v>1.04</v>
      </c>
      <c r="H4" s="34">
        <f>B4*0.0021</f>
        <v>0.8400000000000001</v>
      </c>
      <c r="I4" s="34">
        <f>B4*0.0017</f>
        <v>0.68</v>
      </c>
      <c r="J4" s="34">
        <f>B4*0.0034</f>
        <v>1.36</v>
      </c>
      <c r="K4" s="34">
        <f>B4*0.0026</f>
        <v>1.04</v>
      </c>
      <c r="L4" s="34">
        <f>B4*0.0006</f>
        <v>0.24000000000000002</v>
      </c>
      <c r="M4" s="34">
        <f>B4*0.0035</f>
        <v>1.4000000000000001</v>
      </c>
      <c r="N4" s="34">
        <f>B4*0.0003</f>
        <v>0.12000000000000001</v>
      </c>
      <c r="O4" s="34">
        <f>B4*0.0009</f>
        <v>0.36000000000000004</v>
      </c>
      <c r="P4" s="31">
        <f>B4*0.0001</f>
        <v>0.04</v>
      </c>
      <c r="Q4" s="31">
        <f>B4*0.0005</f>
        <v>0.2</v>
      </c>
      <c r="R4" s="31">
        <f>B4*0.0036</f>
        <v>1.4400000000000002</v>
      </c>
      <c r="S4" s="31">
        <f>B4*0.62</f>
        <v>248</v>
      </c>
      <c r="T4" s="34">
        <f>B4*0.0188</f>
        <v>7.5200000000000005</v>
      </c>
      <c r="U4" s="34">
        <f>B4*0.88</f>
        <v>352</v>
      </c>
    </row>
    <row r="5" spans="1:21" ht="12.75">
      <c r="A5" s="27" t="s">
        <v>18</v>
      </c>
      <c r="B5" s="35">
        <f>VLOOKUP(A5,'Пользовательский калькулятор'!A$5:B$24,2,0)</f>
        <v>400</v>
      </c>
      <c r="C5" s="34">
        <f>B5*0.119</f>
        <v>47.6</v>
      </c>
      <c r="D5" s="34">
        <f>B5*0.0127</f>
        <v>5.08</v>
      </c>
      <c r="E5" s="34">
        <f>B5*3.02</f>
        <v>1208</v>
      </c>
      <c r="F5" s="34">
        <f>B5*0.0049</f>
        <v>1.96</v>
      </c>
      <c r="G5" s="34">
        <f>B5*0.0035</f>
        <v>1.4000000000000001</v>
      </c>
      <c r="H5" s="34">
        <f>B5*0.0027</f>
        <v>1.08</v>
      </c>
      <c r="I5" s="34">
        <f>B5*0.0016</f>
        <v>0.64</v>
      </c>
      <c r="J5" s="34">
        <f>B5*0.004</f>
        <v>1.6</v>
      </c>
      <c r="K5" s="34">
        <f>B5*0.0028</f>
        <v>1.1199999999999999</v>
      </c>
      <c r="L5" s="34">
        <f>B5*0.0013</f>
        <v>0.52</v>
      </c>
      <c r="M5" s="34">
        <f>B5*0.0043</f>
        <v>1.72</v>
      </c>
      <c r="N5" s="34">
        <f>B5*0.0007</f>
        <v>0.27999999999999997</v>
      </c>
      <c r="O5" s="34">
        <f>B5*0.0013</f>
        <v>0.52</v>
      </c>
      <c r="P5" s="31">
        <f>B5*0.0001</f>
        <v>0.04</v>
      </c>
      <c r="Q5" s="31">
        <f>B5*0.0004</f>
        <v>0.16</v>
      </c>
      <c r="R5" s="31">
        <f>B5*0.0042</f>
        <v>1.6800000000000002</v>
      </c>
      <c r="S5" s="31">
        <f>B5</f>
        <v>400</v>
      </c>
      <c r="T5" s="34">
        <f>B5*0.0068</f>
        <v>2.72</v>
      </c>
      <c r="U5" s="34">
        <f>B5*0.88</f>
        <v>352</v>
      </c>
    </row>
    <row r="6" spans="1:21" ht="12.75">
      <c r="A6" s="27" t="s">
        <v>19</v>
      </c>
      <c r="B6" s="35">
        <f>VLOOKUP(A6,'Пользовательский калькулятор'!A$5:B$24,2,0)</f>
        <v>0</v>
      </c>
      <c r="C6" s="34">
        <f>B6*0.101</f>
        <v>0</v>
      </c>
      <c r="D6" s="34">
        <f>B6*0.0135</f>
        <v>0</v>
      </c>
      <c r="E6" s="34">
        <f>B6*3.215</f>
        <v>0</v>
      </c>
      <c r="F6" s="34">
        <f>B6*0.0031</f>
        <v>0</v>
      </c>
      <c r="G6" s="34">
        <f>B6*0.0035</f>
        <v>0</v>
      </c>
      <c r="H6" s="34">
        <f>B6*0.0018</f>
        <v>0</v>
      </c>
      <c r="I6" s="34">
        <f>B6*0.0015</f>
        <v>0</v>
      </c>
      <c r="J6" s="34">
        <f>B6*0.003</f>
        <v>0</v>
      </c>
      <c r="K6" s="34">
        <f>B6*0.0026</f>
        <v>0</v>
      </c>
      <c r="L6" s="34">
        <f>B6*0.001</f>
        <v>0</v>
      </c>
      <c r="M6" s="34">
        <f>B6*0.0043</f>
        <v>0</v>
      </c>
      <c r="N6" s="34">
        <f>B6*0.0004</f>
        <v>0</v>
      </c>
      <c r="O6" s="34">
        <f>B6*0.0009</f>
        <v>0</v>
      </c>
      <c r="P6" s="31">
        <f>B6*0.0001</f>
        <v>0</v>
      </c>
      <c r="Q6" s="31">
        <f>B6*0.0007</f>
        <v>0</v>
      </c>
      <c r="R6" s="31">
        <f>B6*0.0038</f>
        <v>0</v>
      </c>
      <c r="S6" s="31">
        <f>B6*0.66</f>
        <v>0</v>
      </c>
      <c r="T6" s="34">
        <f>B6*0.0122</f>
        <v>0</v>
      </c>
      <c r="U6" s="34">
        <f>B6*0.88</f>
        <v>0</v>
      </c>
    </row>
    <row r="7" spans="1:21" ht="12.75">
      <c r="A7" s="27" t="s">
        <v>20</v>
      </c>
      <c r="B7" s="35">
        <f>VLOOKUP(A7,'Пользовательский калькулятор'!A$5:B$24,2,0)</f>
        <v>0</v>
      </c>
      <c r="C7" s="34">
        <f>B7*0.112</f>
        <v>0</v>
      </c>
      <c r="D7" s="34">
        <f>B7*0.011</f>
        <v>0</v>
      </c>
      <c r="E7" s="34">
        <f>B7*2.62</f>
        <v>0</v>
      </c>
      <c r="F7" s="34">
        <f>B7*0.0067</f>
        <v>0</v>
      </c>
      <c r="G7" s="34">
        <f>B7*0.0035</f>
        <v>0</v>
      </c>
      <c r="H7" s="34">
        <f>B7*0.0038</f>
        <v>0</v>
      </c>
      <c r="I7" s="34">
        <f>B7*0.0016</f>
        <v>0</v>
      </c>
      <c r="J7" s="34">
        <f>B7*0.0043</f>
        <v>0</v>
      </c>
      <c r="K7" s="34">
        <f>B7*0.0031</f>
        <v>0</v>
      </c>
      <c r="L7" s="34">
        <f>B7*0.0012</f>
        <v>0</v>
      </c>
      <c r="M7" s="34">
        <f>B7*0.0048</f>
        <v>0</v>
      </c>
      <c r="N7" s="34">
        <f>B7*0.0011</f>
        <v>0</v>
      </c>
      <c r="O7" s="34">
        <f>B7*0.0017</f>
        <v>0</v>
      </c>
      <c r="P7" s="31">
        <f>B7*0.0001</f>
        <v>0</v>
      </c>
      <c r="Q7" s="31">
        <f>B7*0.0007</f>
        <v>0</v>
      </c>
      <c r="R7" s="31">
        <f>B7*0.0047</f>
        <v>0</v>
      </c>
      <c r="S7" s="31">
        <f>B7*0.95</f>
        <v>0</v>
      </c>
      <c r="T7" s="34">
        <f>B7*0.0168</f>
        <v>0</v>
      </c>
      <c r="U7" s="34">
        <f>B7*0.88</f>
        <v>0</v>
      </c>
    </row>
    <row r="8" spans="1:21" ht="12.75">
      <c r="A8" s="27" t="s">
        <v>21</v>
      </c>
      <c r="B8" s="35">
        <f>VLOOKUP(A8,'Пользовательский калькулятор'!A$5:B$24,2,0)</f>
        <v>0</v>
      </c>
      <c r="C8" s="34">
        <f>B8*0.209</f>
        <v>0</v>
      </c>
      <c r="D8" s="34">
        <f>B8*0.008</f>
        <v>0</v>
      </c>
      <c r="E8" s="34">
        <f>B8*1.915</f>
        <v>0</v>
      </c>
      <c r="F8" s="34">
        <f>B8*0.0077</f>
        <v>0</v>
      </c>
      <c r="G8" s="34">
        <f>B8*0.0049</f>
        <v>0</v>
      </c>
      <c r="H8" s="34">
        <f>B8*0.0049</f>
        <v>0</v>
      </c>
      <c r="I8" s="34">
        <f>B8*0.0029</f>
        <v>0</v>
      </c>
      <c r="J8" s="34">
        <f>B8*0.006</f>
        <v>0</v>
      </c>
      <c r="K8" s="34">
        <f>B8*0.0056</f>
        <v>0</v>
      </c>
      <c r="L8" s="34">
        <f>B8*0.0012</f>
        <v>0</v>
      </c>
      <c r="M8" s="34">
        <f>B8*0.0083</f>
        <v>0</v>
      </c>
      <c r="N8" s="34">
        <f>B8*0.0012</f>
        <v>0</v>
      </c>
      <c r="O8" s="34">
        <f>B8*0.0037</f>
        <v>0</v>
      </c>
      <c r="P8" s="31">
        <f>B8*0.0024</f>
        <v>0</v>
      </c>
      <c r="Q8" s="31">
        <f>B8*0.0021</f>
        <v>0</v>
      </c>
      <c r="R8" s="31">
        <f>B8*0.0126</f>
        <v>0</v>
      </c>
      <c r="S8" s="31">
        <f>B8*1.51</f>
        <v>0</v>
      </c>
      <c r="T8" s="34">
        <f>B8*0.0172</f>
        <v>0</v>
      </c>
      <c r="U8" s="34">
        <f>B8*0.89</f>
        <v>0</v>
      </c>
    </row>
    <row r="9" spans="1:21" ht="12.75">
      <c r="A9" s="27" t="s">
        <v>22</v>
      </c>
      <c r="B9" s="35">
        <f>VLOOKUP(A9,'Пользовательский калькулятор'!A$5:B$24,2,0)</f>
        <v>0</v>
      </c>
      <c r="C9" s="34">
        <f>B9*0.607</f>
        <v>0</v>
      </c>
      <c r="D9" s="34">
        <f>B9*0.0149</f>
        <v>0</v>
      </c>
      <c r="E9" s="34">
        <f>B9*3.565</f>
        <v>0</v>
      </c>
      <c r="F9" s="34">
        <f>B9*0.0178</f>
        <v>0</v>
      </c>
      <c r="G9" s="34">
        <f>B9*0.0228</f>
        <v>0</v>
      </c>
      <c r="H9" s="34">
        <f>B9*0.0087</f>
        <v>0</v>
      </c>
      <c r="I9" s="34">
        <f>B9*0.0137</f>
        <v>0</v>
      </c>
      <c r="J9" s="34">
        <f>B9*0.0233</f>
        <v>0</v>
      </c>
      <c r="K9" s="34">
        <f>B9*0.0187</f>
        <v>0</v>
      </c>
      <c r="L9" s="34">
        <f>B9*0.0027</f>
        <v>0</v>
      </c>
      <c r="M9" s="34">
        <f>B9*0.026</f>
        <v>0</v>
      </c>
      <c r="N9" s="34">
        <f>B9*0.0004</f>
        <v>0</v>
      </c>
      <c r="O9" s="34">
        <f>B9*0.0018</f>
        <v>0</v>
      </c>
      <c r="P9" s="31">
        <f>B9*0.0001</f>
        <v>0</v>
      </c>
      <c r="Q9" s="31">
        <f>B9*0.0005</f>
        <v>0</v>
      </c>
      <c r="R9" s="31">
        <f>B9*0.0016</f>
        <v>0</v>
      </c>
      <c r="S9" s="31">
        <f>B9*0.33</f>
        <v>0</v>
      </c>
      <c r="T9" s="34">
        <f>B9*0.0163</f>
        <v>0</v>
      </c>
      <c r="U9" s="34">
        <f>B9*0.89</f>
        <v>0</v>
      </c>
    </row>
    <row r="10" spans="1:21" ht="12.75">
      <c r="A10" s="27" t="s">
        <v>23</v>
      </c>
      <c r="B10" s="35">
        <f>VLOOKUP(A10,'Пользовательский калькулятор'!A$5:B$24,2,0)</f>
        <v>0</v>
      </c>
      <c r="C10" s="34">
        <f>B10*0.156</f>
        <v>0</v>
      </c>
      <c r="D10" s="34">
        <f>B10*0.0076</f>
        <v>0</v>
      </c>
      <c r="E10" s="34">
        <f>B10*1.825</f>
        <v>0</v>
      </c>
      <c r="F10" s="34">
        <f>B10*0.0087</f>
        <v>0</v>
      </c>
      <c r="G10" s="34">
        <f>B10*0.0037</f>
        <v>0</v>
      </c>
      <c r="H10" s="34">
        <f>B10*0.0049</f>
        <v>0</v>
      </c>
      <c r="I10" s="34">
        <f>B10*0.0018</f>
        <v>0</v>
      </c>
      <c r="J10" s="34">
        <f>B10*0.0042</f>
        <v>0</v>
      </c>
      <c r="K10" s="34">
        <f>B10*0.0037</f>
        <v>0</v>
      </c>
      <c r="L10" s="34">
        <f>B10*0.0018</f>
        <v>0</v>
      </c>
      <c r="M10" s="34">
        <f>B10*0.005</f>
        <v>0</v>
      </c>
      <c r="N10" s="34">
        <f>B10*0.001</f>
        <v>0</v>
      </c>
      <c r="O10" s="34">
        <f>B10*0.0029</f>
        <v>0</v>
      </c>
      <c r="P10" s="31">
        <f>B10*0.0003</f>
        <v>0</v>
      </c>
      <c r="Q10" s="31">
        <f>B10*0.0003</f>
        <v>0</v>
      </c>
      <c r="R10" s="31">
        <f>B10*0.0137</f>
        <v>0</v>
      </c>
      <c r="S10" s="31">
        <f>B10*1.44</f>
        <v>0</v>
      </c>
      <c r="T10" s="34">
        <f>B10*0.014</f>
        <v>0</v>
      </c>
      <c r="U10" s="34">
        <f>B10*0.87</f>
        <v>0</v>
      </c>
    </row>
    <row r="11" spans="1:21" ht="12.75">
      <c r="A11" s="27" t="s">
        <v>24</v>
      </c>
      <c r="B11" s="35">
        <f>VLOOKUP(A11,'Пользовательский калькулятор'!A$5:B$24,2,0)</f>
        <v>0</v>
      </c>
      <c r="C11" s="34">
        <f>B11*0.15</f>
        <v>0</v>
      </c>
      <c r="D11" s="34">
        <f>B11*0.0062</f>
        <v>0</v>
      </c>
      <c r="E11" s="34">
        <f>B11*1.475</f>
        <v>0</v>
      </c>
      <c r="F11" s="34">
        <f>B11*0.0082</f>
        <v>0</v>
      </c>
      <c r="G11" s="34">
        <f>B11*0.0036</f>
        <v>0</v>
      </c>
      <c r="H11" s="34">
        <f>B11*0.0043</f>
        <v>0</v>
      </c>
      <c r="I11" s="34">
        <f>B11*0.0018</f>
        <v>0</v>
      </c>
      <c r="J11" s="34">
        <f>B11*0.0041</f>
        <v>0</v>
      </c>
      <c r="K11" s="34">
        <f>B11*0.0035</f>
        <v>0</v>
      </c>
      <c r="L11" s="34">
        <f>B11*0.0018</f>
        <v>0</v>
      </c>
      <c r="M11" s="34">
        <f>B11*0.0053</f>
        <v>0</v>
      </c>
      <c r="N11" s="34">
        <f>B11*0.0019</f>
        <v>0</v>
      </c>
      <c r="O11" s="34">
        <f>B11*0.0035</f>
        <v>0</v>
      </c>
      <c r="P11" s="31">
        <f>B11*0.0004</f>
        <v>0</v>
      </c>
      <c r="Q11" s="31">
        <f>B11*0.0013</f>
        <v>0</v>
      </c>
      <c r="R11" s="31">
        <f>B11*0.0125</f>
        <v>0</v>
      </c>
      <c r="S11" s="31">
        <f>B11*1.23</f>
        <v>0</v>
      </c>
      <c r="T11" s="34">
        <f>B11*0.014</f>
        <v>0</v>
      </c>
      <c r="U11" s="34">
        <f>B11*0.87</f>
        <v>0</v>
      </c>
    </row>
    <row r="12" spans="1:21" ht="12.75">
      <c r="A12" s="27" t="s">
        <v>25</v>
      </c>
      <c r="B12" s="35">
        <f>VLOOKUP(A12,'Пользовательский калькулятор'!A$5:B$24,2,0)</f>
        <v>0</v>
      </c>
      <c r="C12" s="34">
        <f>B12*0.129</f>
        <v>0</v>
      </c>
      <c r="D12" s="34">
        <f>B12*0.0099</f>
        <v>0</v>
      </c>
      <c r="E12" s="34">
        <f>B12*2.37</f>
        <v>0</v>
      </c>
      <c r="F12" s="34">
        <f>B12*0.0084</f>
        <v>0</v>
      </c>
      <c r="G12" s="34">
        <f>B12*0.0034</f>
        <v>0</v>
      </c>
      <c r="H12" s="34">
        <f>B12*0.0042</f>
        <v>0</v>
      </c>
      <c r="I12" s="34">
        <f>B12*0.002</f>
        <v>0</v>
      </c>
      <c r="J12" s="34">
        <f>B12*0.0039</f>
        <v>0</v>
      </c>
      <c r="K12" s="34">
        <f>B12*0.0033</f>
        <v>0</v>
      </c>
      <c r="L12" s="34">
        <f>B12*0.0013</f>
        <v>0</v>
      </c>
      <c r="M12" s="34">
        <f>B12*0.0052</f>
        <v>0</v>
      </c>
      <c r="N12" s="34">
        <f>B12*0.001</f>
        <v>0</v>
      </c>
      <c r="O12" s="34">
        <f>B12*0.0025</f>
        <v>0</v>
      </c>
      <c r="P12" s="31">
        <f>B12*0.0001</f>
        <v>0</v>
      </c>
      <c r="Q12" s="31">
        <f>B12*0.0004</f>
        <v>0</v>
      </c>
      <c r="R12" s="31">
        <f>B12*0.0106</f>
        <v>0</v>
      </c>
      <c r="S12" s="31">
        <f>B12*1.13</f>
        <v>0</v>
      </c>
      <c r="T12" s="34">
        <f>B12*0.0385</f>
        <v>0</v>
      </c>
      <c r="U12" s="34">
        <f>B12*0.89</f>
        <v>0</v>
      </c>
    </row>
    <row r="13" spans="1:21" ht="12.75">
      <c r="A13" s="27" t="s">
        <v>26</v>
      </c>
      <c r="B13" s="35">
        <f>VLOOKUP(A13,'Пользовательский калькулятор'!A$5:B$24,2,0)</f>
        <v>0</v>
      </c>
      <c r="C13" s="34">
        <f>B13*0.147</f>
        <v>0</v>
      </c>
      <c r="D13" s="34">
        <f>B13*0.0068</f>
        <v>0</v>
      </c>
      <c r="E13" s="34">
        <f>B13*1.61</f>
        <v>0</v>
      </c>
      <c r="F13" s="34">
        <f>B13*0.0045</f>
        <v>0</v>
      </c>
      <c r="G13" s="34">
        <f>B13*0.0076</f>
        <v>0</v>
      </c>
      <c r="H13" s="34">
        <f>B13*0.0048</f>
        <v>0</v>
      </c>
      <c r="I13" s="34">
        <f>B13*0.0022</f>
        <v>0</v>
      </c>
      <c r="J13" s="34">
        <f>B13*0.0042</f>
        <v>0</v>
      </c>
      <c r="K13" s="34">
        <f>B13*0.0037</f>
        <v>0</v>
      </c>
      <c r="L13" s="34">
        <f>B13*0.0014</f>
        <v>0</v>
      </c>
      <c r="M13" s="34">
        <f>B13*0.0059</f>
        <v>0</v>
      </c>
      <c r="N13" s="34">
        <f>B13*0.0014</f>
        <v>0</v>
      </c>
      <c r="O13" s="34">
        <f>B13*0.0028</f>
        <v>0</v>
      </c>
      <c r="P13" s="31">
        <f>B13*0.0002</f>
        <v>0</v>
      </c>
      <c r="Q13" s="31">
        <f>B13*0.0007</f>
        <v>0</v>
      </c>
      <c r="R13" s="31">
        <f>B13*0.0121</f>
        <v>0</v>
      </c>
      <c r="S13" s="31">
        <f>B13*1.23</f>
        <v>0</v>
      </c>
      <c r="T13" s="34">
        <f>B13*0.0036</f>
        <v>0</v>
      </c>
      <c r="U13" s="34">
        <f>B13*0.89</f>
        <v>0</v>
      </c>
    </row>
    <row r="14" spans="1:21" ht="12.75">
      <c r="A14" s="27" t="s">
        <v>27</v>
      </c>
      <c r="B14" s="35">
        <f>VLOOKUP(A14,'Пользовательский калькулятор'!A$5:B$24,2,0)</f>
        <v>0</v>
      </c>
      <c r="C14" s="34">
        <f>B14*0.3</f>
        <v>0</v>
      </c>
      <c r="D14" s="34">
        <f>B14*0.0112</f>
        <v>0</v>
      </c>
      <c r="E14" s="34">
        <f>B14*2.665</f>
        <v>0</v>
      </c>
      <c r="F14" s="34">
        <f>B14*0.0241</f>
        <v>0</v>
      </c>
      <c r="G14" s="34">
        <f>B14*0.0102</f>
        <v>0</v>
      </c>
      <c r="H14" s="34">
        <f>B14*0.0163</f>
        <v>0</v>
      </c>
      <c r="I14" s="34">
        <f>B14*0.0016</f>
        <v>0</v>
      </c>
      <c r="J14" s="34">
        <f>B14*0.0044</f>
        <v>0</v>
      </c>
      <c r="K14" s="34">
        <f>B14*0.009</f>
        <v>0</v>
      </c>
      <c r="L14" s="34">
        <f>B14*0.0021</f>
        <v>0</v>
      </c>
      <c r="M14" s="34">
        <f>B14*0.011</f>
        <v>0</v>
      </c>
      <c r="N14" s="34">
        <f>B14*0.0011</f>
        <v>0</v>
      </c>
      <c r="O14" s="34">
        <f>B14*0.0023</f>
        <v>0</v>
      </c>
      <c r="P14" s="31">
        <f>B14*0.0002</f>
        <v>0</v>
      </c>
      <c r="Q14" s="31">
        <f>B14*0.0007</f>
        <v>0</v>
      </c>
      <c r="R14" s="31">
        <f>B14*0.0134</f>
        <v>0</v>
      </c>
      <c r="S14" s="31">
        <f>B14*1.67</f>
        <v>0</v>
      </c>
      <c r="T14" s="34">
        <f>B14*0.0052</f>
        <v>0</v>
      </c>
      <c r="U14" s="34">
        <f>B14*0.87</f>
        <v>0</v>
      </c>
    </row>
    <row r="15" spans="1:21" ht="12.75">
      <c r="A15" s="27" t="s">
        <v>28</v>
      </c>
      <c r="B15" s="35">
        <f>VLOOKUP(A15,'Пользовательский калькулятор'!A$5:B$24,2,0)</f>
        <v>50</v>
      </c>
      <c r="C15" s="34">
        <f>B15*0.227</f>
        <v>11.35</v>
      </c>
      <c r="D15" s="34">
        <f>B15*0.0114</f>
        <v>0.5700000000000001</v>
      </c>
      <c r="E15" s="34">
        <f>B15*2.715</f>
        <v>135.75</v>
      </c>
      <c r="F15" s="34">
        <f>B15*0.0175</f>
        <v>0.8750000000000001</v>
      </c>
      <c r="G15" s="34">
        <f>B15*0.0083</f>
        <v>0.415</v>
      </c>
      <c r="H15" s="34">
        <f>B15*0.0148</f>
        <v>0.74</v>
      </c>
      <c r="I15" s="34">
        <f>B15*0.0018</f>
        <v>0.09000000000000001</v>
      </c>
      <c r="J15" s="34">
        <f>B15*0.0041</f>
        <v>0.20500000000000002</v>
      </c>
      <c r="K15" s="34">
        <f>B15*0.0071</f>
        <v>0.35500000000000004</v>
      </c>
      <c r="L15" s="34">
        <f>B15*0.0018</f>
        <v>0.09000000000000001</v>
      </c>
      <c r="M15" s="34">
        <f>B15*0.0091</f>
        <v>0.455</v>
      </c>
      <c r="N15" s="34">
        <f>B15*0.0011</f>
        <v>0.055</v>
      </c>
      <c r="O15" s="34">
        <f>B15*0.0018</f>
        <v>0.09000000000000001</v>
      </c>
      <c r="P15" s="31">
        <f>B15*0.0001</f>
        <v>0.005</v>
      </c>
      <c r="Q15" s="31">
        <f>B15*0.0006</f>
        <v>0.030000000000000002</v>
      </c>
      <c r="R15" s="31">
        <f>B15*0.011</f>
        <v>0.55</v>
      </c>
      <c r="S15" s="31">
        <f>B15*0.642</f>
        <v>32.1</v>
      </c>
      <c r="T15" s="34">
        <f>B15*0.004</f>
        <v>0.2</v>
      </c>
      <c r="U15" s="34">
        <f>B15*0.87</f>
        <v>43.5</v>
      </c>
    </row>
    <row r="16" spans="1:21" ht="25.5">
      <c r="A16" s="28" t="s">
        <v>29</v>
      </c>
      <c r="B16" s="35">
        <f>VLOOKUP(A16,'Пользовательский калькулятор'!A$5:B$24,2,0)</f>
        <v>0</v>
      </c>
      <c r="C16" s="34">
        <f>B16*0.356</f>
        <v>0</v>
      </c>
      <c r="D16" s="34">
        <f>B16*0.0144</f>
        <v>0</v>
      </c>
      <c r="E16" s="34">
        <f>B16*3.45</f>
        <v>0</v>
      </c>
      <c r="F16" s="34">
        <f>B16*0.0226</f>
        <v>0</v>
      </c>
      <c r="G16" s="34">
        <f>B16*0.0139</f>
        <v>0</v>
      </c>
      <c r="H16" s="34">
        <f>B16*0.019</f>
        <v>0</v>
      </c>
      <c r="I16" s="34">
        <f>B16*0.0042</f>
        <v>0</v>
      </c>
      <c r="J16" s="34">
        <f>B16*0.0087</f>
        <v>0</v>
      </c>
      <c r="K16" s="34">
        <f>B16*0.0119</f>
        <v>0</v>
      </c>
      <c r="L16" s="34">
        <f>B16*0.0035</f>
        <v>0</v>
      </c>
      <c r="M16" s="34">
        <f>B16*0.0147</f>
        <v>0</v>
      </c>
      <c r="N16" s="34">
        <f>B16*0.0023</f>
        <v>0</v>
      </c>
      <c r="O16" s="34">
        <f>B16*0.0022</f>
        <v>0</v>
      </c>
      <c r="P16" s="31">
        <f>B16*0.0001</f>
        <v>0</v>
      </c>
      <c r="Q16" s="31">
        <f>B16*0.0003</f>
        <v>0</v>
      </c>
      <c r="R16" s="31">
        <f>B16*0.0176</f>
        <v>0</v>
      </c>
      <c r="S16" s="31">
        <f>B16*2.86</f>
        <v>0</v>
      </c>
      <c r="T16" s="34">
        <f>B16*0.097</f>
        <v>0</v>
      </c>
      <c r="U16" s="34">
        <f>B16*0.88</f>
        <v>0</v>
      </c>
    </row>
    <row r="17" spans="1:21" ht="12.75">
      <c r="A17" s="27" t="s">
        <v>30</v>
      </c>
      <c r="B17" s="35">
        <f>VLOOKUP(A17,'Пользовательский калькулятор'!A$5:B$24,2,0)</f>
        <v>100</v>
      </c>
      <c r="C17" s="34">
        <f>B17*0.473</f>
        <v>47.300000000000004</v>
      </c>
      <c r="D17" s="34">
        <f>B17*0.0093</f>
        <v>0.93</v>
      </c>
      <c r="E17" s="34">
        <f>B17*2.23</f>
        <v>223</v>
      </c>
      <c r="F17" s="34">
        <f>B17*0.0326</f>
        <v>3.2600000000000002</v>
      </c>
      <c r="G17" s="34">
        <f>B17*0.0194</f>
        <v>1.94</v>
      </c>
      <c r="H17" s="34">
        <f>B17*0.0255</f>
        <v>2.5500000000000003</v>
      </c>
      <c r="I17" s="34">
        <f>B17*0.0059</f>
        <v>0.59</v>
      </c>
      <c r="J17" s="34">
        <f>B17*0.0118</f>
        <v>1.18</v>
      </c>
      <c r="K17" s="34">
        <f>B17*0.0163</f>
        <v>1.6300000000000001</v>
      </c>
      <c r="L17" s="34">
        <f>B17*0.0054</f>
        <v>0.54</v>
      </c>
      <c r="M17" s="34">
        <f>B17*0.0201</f>
        <v>2.01</v>
      </c>
      <c r="N17" s="34">
        <f>B17*0.0027</f>
        <v>0.27</v>
      </c>
      <c r="O17" s="34">
        <f>B17*0.0027</f>
        <v>0.27</v>
      </c>
      <c r="P17" s="31">
        <f>B17*0.0002</f>
        <v>0.02</v>
      </c>
      <c r="Q17" s="31">
        <f>B17*0.0003</f>
        <v>0.030000000000000002</v>
      </c>
      <c r="R17" s="31">
        <f>B17*0.0226</f>
        <v>2.2600000000000002</v>
      </c>
      <c r="S17" s="31">
        <f>B17*2.73</f>
        <v>273</v>
      </c>
      <c r="T17" s="34">
        <f>B17*0.007</f>
        <v>0.7000000000000001</v>
      </c>
      <c r="U17" s="34">
        <f>B17*0.87</f>
        <v>87</v>
      </c>
    </row>
    <row r="18" spans="1:21" ht="12.75">
      <c r="A18" s="27" t="s">
        <v>31</v>
      </c>
      <c r="B18" s="35">
        <f>VLOOKUP(A18,'Пользовательский калькулятор'!A$5:B$24,2,0)</f>
        <v>0</v>
      </c>
      <c r="C18" s="34">
        <f>B18*0.386</f>
        <v>0</v>
      </c>
      <c r="D18" s="34">
        <f>B18*0.0067</f>
        <v>0</v>
      </c>
      <c r="E18" s="34">
        <f>B18*1.6</f>
        <v>0</v>
      </c>
      <c r="F18" s="34">
        <f>B18*0.0288</f>
        <v>0</v>
      </c>
      <c r="G18" s="34">
        <f>B18*0.0142</f>
        <v>0</v>
      </c>
      <c r="H18" s="34">
        <f>B18*0.0116</f>
        <v>0</v>
      </c>
      <c r="I18" s="34">
        <f>B18*0.0075</f>
        <v>0</v>
      </c>
      <c r="J18" s="34">
        <f>B18*0.012</f>
        <v>0</v>
      </c>
      <c r="K18" s="34">
        <f>B18*0.0105</f>
        <v>0</v>
      </c>
      <c r="L18" s="34">
        <f>B18*0.0041</f>
        <v>0</v>
      </c>
      <c r="M18" s="34">
        <f>B18*0.0163</f>
        <v>0</v>
      </c>
      <c r="N18" s="34">
        <f>B18*0.0037</f>
        <v>0</v>
      </c>
      <c r="O18" s="34">
        <f>B18*0.0029</f>
        <v>0</v>
      </c>
      <c r="P18" s="31">
        <f>B18*0.0003</f>
        <v>0</v>
      </c>
      <c r="Q18" s="31">
        <f>B18*0.0012</f>
        <v>0</v>
      </c>
      <c r="R18" s="31">
        <f>B18*0.0147</f>
        <v>0</v>
      </c>
      <c r="S18" s="31">
        <f>B18*2.89</f>
        <v>0</v>
      </c>
      <c r="T18" s="34">
        <f>B18*0.0068</f>
        <v>0</v>
      </c>
      <c r="U18" s="34">
        <f>B18*0.9</f>
        <v>0</v>
      </c>
    </row>
    <row r="19" spans="1:21" ht="12.75">
      <c r="A19" s="27" t="s">
        <v>32</v>
      </c>
      <c r="B19" s="35">
        <f>VLOOKUP(A19,'Пользовательский калькулятор'!A$5:B$24,2,0)</f>
        <v>0</v>
      </c>
      <c r="C19" s="34">
        <f>B19*0.343</f>
        <v>0</v>
      </c>
      <c r="D19" s="34">
        <f>B19*0.0071</f>
        <v>0</v>
      </c>
      <c r="E19" s="34">
        <f>B19*1.7</f>
        <v>0</v>
      </c>
      <c r="F19" s="34">
        <f>B19*0.0182</f>
        <v>0</v>
      </c>
      <c r="G19" s="34">
        <f>B19*0.011</f>
        <v>0</v>
      </c>
      <c r="H19" s="34">
        <f>B19*0.0146</f>
        <v>0</v>
      </c>
      <c r="I19" s="34">
        <f>B19*0.0061</f>
        <v>0</v>
      </c>
      <c r="J19" s="34">
        <f>B19*0.0122</f>
        <v>0</v>
      </c>
      <c r="K19" s="34">
        <f>B19*0.0229</f>
        <v>0</v>
      </c>
      <c r="L19" s="34">
        <f>B19*0.0037</f>
        <v>0</v>
      </c>
      <c r="M19" s="34">
        <f>B19*0.0146</f>
        <v>0</v>
      </c>
      <c r="N19" s="34">
        <f>B19*0.0073</f>
        <v>0</v>
      </c>
      <c r="O19" s="34">
        <f>B19*0.0036</f>
        <v>0</v>
      </c>
      <c r="P19" s="31">
        <f>B19*0.0003</f>
        <v>0</v>
      </c>
      <c r="Q19" s="31">
        <f>B19*0.0003</f>
        <v>0</v>
      </c>
      <c r="R19" s="31">
        <f>B19*0.0126</f>
        <v>0</v>
      </c>
      <c r="S19" s="31">
        <f>B19*6.7</f>
        <v>0</v>
      </c>
      <c r="T19" s="34">
        <f>B19*0.0031</f>
        <v>0</v>
      </c>
      <c r="U19" s="34">
        <f>B19*0.88</f>
        <v>0</v>
      </c>
    </row>
    <row r="20" spans="1:21" ht="12.75">
      <c r="A20" s="27" t="s">
        <v>33</v>
      </c>
      <c r="B20" s="35">
        <f>VLOOKUP(A20,'Пользовательский калькулятор'!A$5:B$24,2,0)</f>
        <v>50</v>
      </c>
      <c r="C20" s="34">
        <f>B20*0.66</f>
        <v>33</v>
      </c>
      <c r="D20" s="34">
        <f>B20*0.0136</f>
        <v>0.68</v>
      </c>
      <c r="E20" s="34">
        <f>B20*3.25</f>
        <v>162.5</v>
      </c>
      <c r="F20" s="34">
        <f>B20*0.0348</f>
        <v>1.7400000000000002</v>
      </c>
      <c r="G20" s="34">
        <f>B20*0.0249</f>
        <v>1.245</v>
      </c>
      <c r="H20" s="34">
        <f>B20*0.044</f>
        <v>2.1999999999999997</v>
      </c>
      <c r="I20" s="34">
        <f>B20*0.0168</f>
        <v>0.8400000000000001</v>
      </c>
      <c r="J20" s="34">
        <f>B20*0.0212</f>
        <v>1.06</v>
      </c>
      <c r="K20" s="34">
        <f>B20*0.0245</f>
        <v>1.225</v>
      </c>
      <c r="L20" s="34">
        <f>B20*0.0063</f>
        <v>0.315</v>
      </c>
      <c r="M20" s="34">
        <f>B20*0.0297</f>
        <v>1.485</v>
      </c>
      <c r="N20" s="34">
        <f>B20*0.0349</f>
        <v>1.745</v>
      </c>
      <c r="O20" s="34">
        <f>B20*0.0176</f>
        <v>0.88</v>
      </c>
      <c r="P20" s="31">
        <f>B20*0.0103</f>
        <v>0.515</v>
      </c>
      <c r="Q20" s="31">
        <f>B20*0.0158</f>
        <v>0.79</v>
      </c>
      <c r="R20" s="31">
        <f>B20*0.01</f>
        <v>0.5</v>
      </c>
      <c r="S20" s="31">
        <f>B20*3.05</f>
        <v>152.5</v>
      </c>
      <c r="T20" s="34">
        <f>B20*0.0001</f>
        <v>0.005</v>
      </c>
      <c r="U20" s="34">
        <f>B20*0.91</f>
        <v>45.5</v>
      </c>
    </row>
    <row r="21" spans="1:21" ht="12.75">
      <c r="A21" s="27" t="s">
        <v>34</v>
      </c>
      <c r="B21" s="35">
        <f>VLOOKUP(A21,'Пользовательский калькулятор'!A$5:B$24,2,0)</f>
        <v>0</v>
      </c>
      <c r="C21" s="34">
        <f>B21*0.706</f>
        <v>0</v>
      </c>
      <c r="D21" s="34">
        <f>B21*0.0141</f>
        <v>0</v>
      </c>
      <c r="E21" s="34">
        <f>B21*3.36</f>
        <v>0</v>
      </c>
      <c r="F21" s="34">
        <f>B21*0.037</f>
        <v>0</v>
      </c>
      <c r="G21" s="34">
        <f>B21*0.0274</f>
        <v>0</v>
      </c>
      <c r="H21" s="34">
        <f>B21*0.0483</f>
        <v>0</v>
      </c>
      <c r="I21" s="34">
        <f>B21*0.0188</f>
        <v>0</v>
      </c>
      <c r="J21" s="34">
        <f>B21*0.0233</f>
        <v>0</v>
      </c>
      <c r="K21" s="34">
        <f>B21*0.0271</f>
        <v>0</v>
      </c>
      <c r="L21" s="34">
        <f>B21*0.0068</f>
        <v>0</v>
      </c>
      <c r="M21" s="34">
        <f>B21*0.0328</f>
        <v>0</v>
      </c>
      <c r="N21" s="34">
        <f>B21*0.0264</f>
        <v>0</v>
      </c>
      <c r="O21" s="34">
        <f>B21*0.0155</f>
        <v>0</v>
      </c>
      <c r="P21" s="31">
        <f>B21*0.0103</f>
        <v>0</v>
      </c>
      <c r="Q21" s="31">
        <f>B21*0.0162</f>
        <v>0</v>
      </c>
      <c r="R21" s="31">
        <f>B21*0.0139</f>
        <v>0</v>
      </c>
      <c r="S21" s="31">
        <f>B21*5.3</f>
        <v>0</v>
      </c>
      <c r="T21" s="34">
        <f>B21*0.0001</f>
        <v>0</v>
      </c>
      <c r="U21" s="34">
        <f>B21*0.91</f>
        <v>0</v>
      </c>
    </row>
    <row r="22" spans="1:21" ht="12.75">
      <c r="A22" s="27" t="s">
        <v>35</v>
      </c>
      <c r="B22" s="35">
        <f>VLOOKUP(A22,'Пользовательский калькулятор'!A$5:B$24,2,0)</f>
        <v>0</v>
      </c>
      <c r="C22" s="34">
        <f>B22*0.538</f>
        <v>0</v>
      </c>
      <c r="D22" s="34">
        <f>B22*0.0126</f>
        <v>0</v>
      </c>
      <c r="E22" s="34">
        <f>B22*3</f>
        <v>0</v>
      </c>
      <c r="F22" s="34">
        <f>B22*0.0298</f>
        <v>0</v>
      </c>
      <c r="G22" s="34">
        <f>B22*0.013</f>
        <v>0</v>
      </c>
      <c r="H22" s="34">
        <f>B22*0.0218</f>
        <v>0</v>
      </c>
      <c r="I22" s="34">
        <f>B22*0.0064</f>
        <v>0</v>
      </c>
      <c r="J22" s="34">
        <f>B22*0.0097</f>
        <v>0</v>
      </c>
      <c r="K22" s="34">
        <f>B22*0.014</f>
        <v>0</v>
      </c>
      <c r="L22" s="34">
        <f>B22*0.0028</f>
        <v>0</v>
      </c>
      <c r="M22" s="34">
        <f>B22*0.0199</f>
        <v>0</v>
      </c>
      <c r="N22" s="34">
        <f>B22*0.0733</f>
        <v>0</v>
      </c>
      <c r="O22" s="34">
        <f>B22*0.0226</f>
        <v>0</v>
      </c>
      <c r="P22" s="31">
        <f>B22*0.0076</f>
        <v>0</v>
      </c>
      <c r="Q22" s="31">
        <f>B22*0.0063</f>
        <v>0</v>
      </c>
      <c r="R22" s="31">
        <f>B22*0.0048</f>
        <v>0</v>
      </c>
      <c r="S22" s="31">
        <f>B22*1.9</f>
        <v>0</v>
      </c>
      <c r="T22" s="34">
        <f>B22*0.0081</f>
        <v>0</v>
      </c>
      <c r="U22" s="34">
        <f>B22*0.94</f>
        <v>0</v>
      </c>
    </row>
    <row r="24" spans="1:8" ht="25.5">
      <c r="A24" s="18" t="s">
        <v>36</v>
      </c>
      <c r="B24" s="19">
        <f>SUM(B3:B22)</f>
        <v>1000</v>
      </c>
      <c r="C24" s="63" t="str">
        <f>IF(B24=1000,"Условие выполнено","Условие не выполнено, необходимо откорректировасть содержание ингридиентов")</f>
        <v>Условие выполнено</v>
      </c>
      <c r="D24" s="63"/>
      <c r="E24" s="63"/>
      <c r="F24" s="63"/>
      <c r="G24" s="63"/>
      <c r="H24" s="63"/>
    </row>
    <row r="26" spans="1:21" ht="12.75">
      <c r="A26" t="s">
        <v>11</v>
      </c>
      <c r="B26" t="s">
        <v>119</v>
      </c>
      <c r="C26" s="36">
        <f>(SUM(C$3:C$22)/223.5)</f>
        <v>0.7787472035794184</v>
      </c>
      <c r="D26" s="36">
        <f>(SUM(D$3:D$22)/12.6)</f>
        <v>1.011111111111111</v>
      </c>
      <c r="E26" s="36">
        <f>(SUM(E$3:E$22)/3010)</f>
        <v>1.009717607973422</v>
      </c>
      <c r="F26" s="36">
        <f>(SUM(F$3:F$22)/1.33)</f>
        <v>6.973684210526316</v>
      </c>
      <c r="G26" s="36">
        <f>(SUM(G$3:G$22)/0.84)</f>
        <v>7.190476190476191</v>
      </c>
      <c r="H26" s="36">
        <f>(SUM(H$3:H$22)/1.27)</f>
        <v>5.834645669291339</v>
      </c>
      <c r="I26" s="36">
        <f>(SUM(I$3:I$22)/0.47)</f>
        <v>6.042553191489361</v>
      </c>
      <c r="J26" s="36">
        <f>(SUM(J$3:J$22)/0.94)</f>
        <v>5.749999999999999</v>
      </c>
      <c r="K26" s="36">
        <f>(SUM(K$3:K$22)/0.8)</f>
        <v>6.712500000000001</v>
      </c>
      <c r="L26" s="36">
        <f>(SUM(L$3:L$22)/0.22)</f>
        <v>7.75</v>
      </c>
      <c r="M26" s="36">
        <f>(SUM(M$3:M$22)/0.94)</f>
        <v>7.5212765957446805</v>
      </c>
      <c r="N26" s="36">
        <f>(SUM(N$3:N$22)/1)</f>
        <v>2.47</v>
      </c>
      <c r="O26" s="36">
        <f>(SUM(O$3:O$22)/0.5)</f>
        <v>4.24</v>
      </c>
      <c r="P26" s="36">
        <f>(SUM(P$3:P$22)/0.16)</f>
        <v>3.875</v>
      </c>
      <c r="Q26" s="36">
        <f>(SUM(Q$3:Q$22)/0.19)</f>
        <v>6.368421052631579</v>
      </c>
      <c r="R26" s="36">
        <f>(SUM(R$3:R$22)/0.65)</f>
        <v>9.892307692307691</v>
      </c>
      <c r="S26" s="36"/>
      <c r="T26" s="36"/>
      <c r="U26" s="36"/>
    </row>
    <row r="27" spans="1:21" ht="12.75">
      <c r="A27" t="s">
        <v>12</v>
      </c>
      <c r="B27" t="s">
        <v>119</v>
      </c>
      <c r="C27" s="36">
        <f>(SUM(C$3:C$22)/210)</f>
        <v>0.8288095238095239</v>
      </c>
      <c r="D27" s="36">
        <f>(SUM(D$3:D$22)/13.3)</f>
        <v>0.9578947368421052</v>
      </c>
      <c r="E27" s="36">
        <f>(SUM(E$3:E$22)/3175)</f>
        <v>0.9572440944881889</v>
      </c>
      <c r="F27" s="36">
        <f>(SUM(F$3:F$22)/1.16)</f>
        <v>7.995689655172415</v>
      </c>
      <c r="G27" s="36">
        <f>(SUM(G$3:G$22)/0.72)</f>
        <v>8.38888888888889</v>
      </c>
      <c r="H27" s="36">
        <f>(SUM(H$3:H$22)/1.08)</f>
        <v>6.861111111111111</v>
      </c>
      <c r="I27" s="36">
        <f>(SUM(I$3:I$22)/0.41)</f>
        <v>6.926829268292682</v>
      </c>
      <c r="J27" s="36">
        <f>(SUM(J$3:J$22)/0.82)</f>
        <v>6.591463414634145</v>
      </c>
      <c r="K27" s="36">
        <f>(SUM(K$3:K$22)/0.69)</f>
        <v>7.782608695652175</v>
      </c>
      <c r="L27" s="36">
        <f>(SUM(L$3:L$22)/0.118)</f>
        <v>14.44915254237288</v>
      </c>
      <c r="M27" s="36">
        <f>(SUM(M$3:M$22)/0.81)</f>
        <v>8.728395061728396</v>
      </c>
      <c r="N27" s="36">
        <f>(SUM(N$3:N$22)/0.9)</f>
        <v>2.7444444444444445</v>
      </c>
      <c r="O27" s="36">
        <f>(SUM(O$3:O$22)/0.45)</f>
        <v>4.711111111111111</v>
      </c>
      <c r="P27" s="36">
        <f>(SUM(P$3:P$22)/0.16)</f>
        <v>3.875</v>
      </c>
      <c r="Q27" s="36">
        <f>(SUM(Q$3:Q$22)/0.19)</f>
        <v>6.368421052631579</v>
      </c>
      <c r="R27" s="36">
        <f>(SUM(R$3:R$22)/0.65)</f>
        <v>9.892307692307691</v>
      </c>
      <c r="S27" s="36"/>
      <c r="T27" s="36"/>
      <c r="U27" s="36"/>
    </row>
    <row r="28" spans="1:21" ht="12.75">
      <c r="A28" t="s">
        <v>13</v>
      </c>
      <c r="B28" t="s">
        <v>119</v>
      </c>
      <c r="C28" s="36">
        <f>(SUM(C$3:C$22)/190)</f>
        <v>0.9160526315789475</v>
      </c>
      <c r="D28" s="36">
        <f>(SUM(D$3:D$22)/13.6)</f>
        <v>0.9367647058823529</v>
      </c>
      <c r="E28" s="36">
        <f>(SUM(E$3:E$22)/3225)</f>
        <v>0.9424031007751938</v>
      </c>
      <c r="F28" s="36">
        <f>(SUM(F$3:F$22)/0.96)</f>
        <v>9.661458333333334</v>
      </c>
      <c r="G28" s="36">
        <f>(SUM(G$3:G$22)/0.6)</f>
        <v>10.066666666666665</v>
      </c>
      <c r="H28" s="36">
        <f>(SUM(H$3:H$22)/0.88)</f>
        <v>8.420454545454545</v>
      </c>
      <c r="I28" s="36">
        <f>(SUM(I$3:I$22)/0.34)</f>
        <v>8.352941176470587</v>
      </c>
      <c r="J28" s="36">
        <f>(SUM(J$3:J$22)/0.69)</f>
        <v>7.833333333333332</v>
      </c>
      <c r="K28" s="36">
        <f>(SUM(K$3:K$22)/0.58)</f>
        <v>9.258620689655174</v>
      </c>
      <c r="L28" s="36">
        <f>(SUM(L$3:L$22)/0.16)</f>
        <v>10.65625</v>
      </c>
      <c r="M28" s="36">
        <f>(SUM(M$3:M$22)/0.67)</f>
        <v>10.552238805970148</v>
      </c>
      <c r="N28" s="36">
        <f>(SUM(N$3:N$22)/0.85)</f>
        <v>2.905882352941177</v>
      </c>
      <c r="O28" s="36">
        <f>(SUM(O$3:O$22)/0.42)</f>
        <v>5.047619047619048</v>
      </c>
      <c r="P28" s="36">
        <f>(SUM(P$3:P$22)/0.16)</f>
        <v>3.875</v>
      </c>
      <c r="Q28" s="36">
        <f>(SUM(Q$3:Q$22)/0.19)</f>
        <v>6.368421052631579</v>
      </c>
      <c r="R28" s="36">
        <f>(SUM(R$3:R$22)/0.65)</f>
        <v>9.892307692307691</v>
      </c>
      <c r="S28" s="36"/>
      <c r="T28" s="36"/>
      <c r="U28" s="36"/>
    </row>
    <row r="30" ht="12.75">
      <c r="A30" t="s">
        <v>120</v>
      </c>
    </row>
  </sheetData>
  <sheetProtection selectLockedCells="1" selectUnlockedCells="1"/>
  <mergeCells count="3">
    <mergeCell ref="A1:A2"/>
    <mergeCell ref="B1:B2"/>
    <mergeCell ref="C24:H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Фарид</cp:lastModifiedBy>
  <dcterms:modified xsi:type="dcterms:W3CDTF">2016-01-16T20:08:36Z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