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155" windowHeight="8445" activeTab="1"/>
  </bookViews>
  <sheets>
    <sheet name="ОК+БК+ПК" sheetId="6" r:id="rId1"/>
    <sheet name="бланк" sheetId="8" r:id="rId2"/>
    <sheet name="Sheet1" sheetId="9" r:id="rId3"/>
  </sheets>
  <calcPr calcId="125725"/>
</workbook>
</file>

<file path=xl/calcChain.xml><?xml version="1.0" encoding="utf-8"?>
<calcChain xmlns="http://schemas.openxmlformats.org/spreadsheetml/2006/main">
  <c r="H54" i="6"/>
  <c r="H52"/>
  <c r="F53"/>
  <c r="F52"/>
  <c r="R50"/>
  <c r="R49"/>
  <c r="Q50"/>
  <c r="Q49"/>
  <c r="P50"/>
  <c r="P49"/>
  <c r="O50"/>
  <c r="O49"/>
  <c r="N50"/>
  <c r="N49"/>
  <c r="M49"/>
  <c r="M50"/>
  <c r="L50"/>
  <c r="L49"/>
  <c r="K50"/>
  <c r="K49"/>
  <c r="J50"/>
  <c r="J49"/>
  <c r="I50"/>
  <c r="I49"/>
  <c r="H50"/>
  <c r="H49"/>
  <c r="G49"/>
  <c r="R39"/>
  <c r="P39"/>
  <c r="N39"/>
  <c r="F39"/>
  <c r="R35"/>
  <c r="R34"/>
  <c r="P35"/>
  <c r="P34"/>
  <c r="N35"/>
  <c r="N34"/>
  <c r="L35"/>
  <c r="L34"/>
  <c r="J35"/>
  <c r="J34"/>
  <c r="H34"/>
  <c r="F34"/>
  <c r="D35"/>
  <c r="D34"/>
  <c r="C34"/>
  <c r="B35"/>
  <c r="B34" i="8"/>
  <c r="B34" i="6"/>
  <c r="R31"/>
  <c r="R30"/>
  <c r="R29"/>
  <c r="R28"/>
  <c r="R27"/>
  <c r="R26"/>
  <c r="R25"/>
  <c r="P30"/>
  <c r="P29"/>
  <c r="P28"/>
  <c r="P27"/>
  <c r="P26"/>
  <c r="P25"/>
  <c r="N30"/>
  <c r="N29"/>
  <c r="N28"/>
  <c r="N27"/>
  <c r="N26"/>
  <c r="N25"/>
  <c r="L29"/>
  <c r="L28"/>
  <c r="L27"/>
  <c r="L26"/>
  <c r="L25"/>
  <c r="J29"/>
  <c r="J28"/>
  <c r="J27"/>
  <c r="J26"/>
  <c r="J25"/>
  <c r="H29"/>
  <c r="H28"/>
  <c r="H27"/>
  <c r="H26"/>
  <c r="H25"/>
  <c r="F29"/>
  <c r="F28"/>
  <c r="F27"/>
  <c r="F26"/>
  <c r="F25"/>
  <c r="D31" i="8"/>
  <c r="R31" s="1"/>
  <c r="D31" i="6"/>
  <c r="D30" i="8"/>
  <c r="R30" s="1"/>
  <c r="D30" i="6"/>
  <c r="D29" i="8"/>
  <c r="R29" s="1"/>
  <c r="D29" i="6"/>
  <c r="D28" i="8"/>
  <c r="H28" s="1"/>
  <c r="D28" i="6"/>
  <c r="D27" i="8"/>
  <c r="P27" s="1"/>
  <c r="D27" i="6"/>
  <c r="D26" i="8"/>
  <c r="R26" s="1"/>
  <c r="D26" i="6"/>
  <c r="D25" i="8"/>
  <c r="R25" s="1"/>
  <c r="D25" i="6"/>
  <c r="R21"/>
  <c r="P21"/>
  <c r="N21"/>
  <c r="L21"/>
  <c r="J21"/>
  <c r="H21"/>
  <c r="F21"/>
  <c r="D21"/>
  <c r="R22"/>
  <c r="P22"/>
  <c r="N22"/>
  <c r="L22"/>
  <c r="J22"/>
  <c r="D22"/>
  <c r="B22"/>
  <c r="B21" i="8"/>
  <c r="B21" i="6"/>
  <c r="R20"/>
  <c r="P20"/>
  <c r="N20"/>
  <c r="L20"/>
  <c r="J20"/>
  <c r="H20"/>
  <c r="F20"/>
  <c r="D20" i="8"/>
  <c r="D21" s="1"/>
  <c r="D20" i="6"/>
  <c r="H16" i="8"/>
  <c r="H16" i="6"/>
  <c r="H14" i="8"/>
  <c r="H14" i="6"/>
  <c r="H15" s="1"/>
  <c r="F16" i="8"/>
  <c r="F16" i="6"/>
  <c r="F14" i="8"/>
  <c r="F14" i="6"/>
  <c r="F15" s="1"/>
  <c r="R13"/>
  <c r="P13"/>
  <c r="N13"/>
  <c r="L13"/>
  <c r="J13"/>
  <c r="H13"/>
  <c r="F13"/>
  <c r="D13"/>
  <c r="B13" i="8"/>
  <c r="B13" i="6"/>
  <c r="R11"/>
  <c r="P11"/>
  <c r="N11"/>
  <c r="L11"/>
  <c r="J11"/>
  <c r="H11"/>
  <c r="F11"/>
  <c r="D11" i="8"/>
  <c r="D13" s="1"/>
  <c r="D9"/>
  <c r="D11" i="6"/>
  <c r="R3" i="8"/>
  <c r="R3" i="6"/>
  <c r="D9"/>
  <c r="P29" i="8" l="1"/>
  <c r="J29"/>
  <c r="N29"/>
  <c r="F29"/>
  <c r="H29"/>
  <c r="L29"/>
  <c r="F22" i="6"/>
  <c r="F17"/>
  <c r="H22"/>
  <c r="H17"/>
  <c r="P30" i="8"/>
  <c r="J28"/>
  <c r="L28"/>
  <c r="F28"/>
  <c r="N28"/>
  <c r="P28"/>
  <c r="R28"/>
  <c r="H11"/>
  <c r="H13" s="1"/>
  <c r="H15" s="1"/>
  <c r="H17" s="1"/>
  <c r="L11"/>
  <c r="L13" s="1"/>
  <c r="P11"/>
  <c r="P13" s="1"/>
  <c r="B22"/>
  <c r="B35" s="1"/>
  <c r="D22"/>
  <c r="F11"/>
  <c r="F13" s="1"/>
  <c r="F15" s="1"/>
  <c r="F17" s="1"/>
  <c r="J11"/>
  <c r="J13" s="1"/>
  <c r="N11"/>
  <c r="N13" s="1"/>
  <c r="R11"/>
  <c r="R13" s="1"/>
  <c r="N30"/>
  <c r="F27"/>
  <c r="H27"/>
  <c r="J27"/>
  <c r="L27"/>
  <c r="N27"/>
  <c r="R27"/>
  <c r="H26"/>
  <c r="F26"/>
  <c r="N26"/>
  <c r="L26"/>
  <c r="P26"/>
  <c r="J26"/>
  <c r="H25"/>
  <c r="L25"/>
  <c r="D34"/>
  <c r="C34" s="1"/>
  <c r="F25"/>
  <c r="J25"/>
  <c r="N25"/>
  <c r="P25"/>
  <c r="H20"/>
  <c r="H21" s="1"/>
  <c r="L20"/>
  <c r="L21" s="1"/>
  <c r="P20"/>
  <c r="P21" s="1"/>
  <c r="F20"/>
  <c r="F21" s="1"/>
  <c r="J20"/>
  <c r="J21" s="1"/>
  <c r="R20"/>
  <c r="R21" s="1"/>
  <c r="N20"/>
  <c r="N21" s="1"/>
  <c r="N22" s="1"/>
  <c r="D19" i="6"/>
  <c r="D10"/>
  <c r="P10" s="1"/>
  <c r="F23" l="1"/>
  <c r="F35"/>
  <c r="F36" s="1"/>
  <c r="H35"/>
  <c r="H36" s="1"/>
  <c r="H23"/>
  <c r="P22" i="8"/>
  <c r="L22"/>
  <c r="J22"/>
  <c r="F22"/>
  <c r="F23" s="1"/>
  <c r="R34"/>
  <c r="H22"/>
  <c r="H23" s="1"/>
  <c r="R22"/>
  <c r="P34"/>
  <c r="L34"/>
  <c r="H34"/>
  <c r="H52" s="1"/>
  <c r="H54" s="1"/>
  <c r="F34"/>
  <c r="F52" s="1"/>
  <c r="F53" s="1"/>
  <c r="K49" s="1"/>
  <c r="N34"/>
  <c r="N35" s="1"/>
  <c r="J34"/>
  <c r="D35"/>
  <c r="L19" i="6"/>
  <c r="R19"/>
  <c r="F19"/>
  <c r="N19"/>
  <c r="H19"/>
  <c r="J19"/>
  <c r="P19"/>
  <c r="F9"/>
  <c r="L9"/>
  <c r="N9"/>
  <c r="R9"/>
  <c r="F10"/>
  <c r="L10"/>
  <c r="N10"/>
  <c r="R10"/>
  <c r="H9"/>
  <c r="J9"/>
  <c r="P9"/>
  <c r="H10"/>
  <c r="J10"/>
  <c r="P35" i="8" l="1"/>
  <c r="P39" s="1"/>
  <c r="L35"/>
  <c r="F39" s="1"/>
  <c r="J35"/>
  <c r="R35"/>
  <c r="R39" s="1"/>
  <c r="F35"/>
  <c r="F36" s="1"/>
  <c r="R50"/>
  <c r="I50"/>
  <c r="M50"/>
  <c r="H35"/>
  <c r="H36" s="1"/>
  <c r="L49"/>
  <c r="N49"/>
  <c r="H49"/>
  <c r="G49"/>
  <c r="Q49"/>
  <c r="P49"/>
  <c r="I49"/>
  <c r="R49"/>
  <c r="J49"/>
  <c r="O49"/>
  <c r="M49"/>
  <c r="P50"/>
  <c r="K50"/>
  <c r="J50"/>
  <c r="H50"/>
  <c r="O50"/>
  <c r="L50"/>
  <c r="Q50"/>
  <c r="N50"/>
  <c r="N39"/>
</calcChain>
</file>

<file path=xl/sharedStrings.xml><?xml version="1.0" encoding="utf-8"?>
<sst xmlns="http://schemas.openxmlformats.org/spreadsheetml/2006/main" count="164" uniqueCount="67">
  <si>
    <t>Расчет рациона для дойной коровы (дневной рацион)</t>
  </si>
  <si>
    <t>Основной корм</t>
  </si>
  <si>
    <t>Масса корма, кг</t>
  </si>
  <si>
    <t>Сухое вещество</t>
  </si>
  <si>
    <t>Энергия, ЧЕЛ</t>
  </si>
  <si>
    <t>Содержание, МДж/кг СВ</t>
  </si>
  <si>
    <t>Содержание, г/кг СВ</t>
  </si>
  <si>
    <t>Сырая клетчатка</t>
  </si>
  <si>
    <t>Баланс азота в рубце</t>
  </si>
  <si>
    <t>Кальций</t>
  </si>
  <si>
    <t>Фосфор</t>
  </si>
  <si>
    <t>Содержание, г/кг нат.влажности</t>
  </si>
  <si>
    <t>Кол-во, МДж</t>
  </si>
  <si>
    <t>Кол-во, г</t>
  </si>
  <si>
    <t>Потребность на  жизнь</t>
  </si>
  <si>
    <t>Потребность на 1 кг молока</t>
  </si>
  <si>
    <t>досточно для … кг молока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</si>
  <si>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из основного корма</t>
    </r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</si>
  <si>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без потребности на жизнь</t>
    </r>
  </si>
  <si>
    <t>Продуктивный комбикорм</t>
  </si>
  <si>
    <t>Содержание сырой клетчатки в сухом веществе:</t>
  </si>
  <si>
    <t>%</t>
  </si>
  <si>
    <t>Кукурузный силос</t>
  </si>
  <si>
    <t>Сенаж люцерны</t>
  </si>
  <si>
    <t>Ячмень</t>
  </si>
  <si>
    <t>Живая масса</t>
  </si>
  <si>
    <t>кг</t>
  </si>
  <si>
    <t>Жирность молока</t>
  </si>
  <si>
    <t>Белок молока</t>
  </si>
  <si>
    <t>Соевый шрот</t>
  </si>
  <si>
    <t>Пшеница</t>
  </si>
  <si>
    <t>Кукуруза</t>
  </si>
  <si>
    <t>Подсолнечный шрот</t>
  </si>
  <si>
    <t>мин. 17%</t>
  </si>
  <si>
    <t>Мел</t>
  </si>
  <si>
    <t>Натрий</t>
  </si>
  <si>
    <t>Соль</t>
  </si>
  <si>
    <t>Кол-во кг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</si>
  <si>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баланс.концкормов</t>
    </r>
  </si>
  <si>
    <t>Сено луговое</t>
  </si>
  <si>
    <t>Контроль содержания сырой клетчатки и минерального баланса</t>
  </si>
  <si>
    <t xml:space="preserve">Потребность Ca, P, Na в г/кг СВ на…кг молока </t>
  </si>
  <si>
    <t>Норма, % или г на 1 кг СВ, мин</t>
  </si>
  <si>
    <r>
      <rPr>
        <b/>
        <sz val="11"/>
        <color theme="1"/>
        <rFont val="Arial"/>
        <family val="2"/>
        <charset val="204"/>
      </rPr>
      <t>Сумма</t>
    </r>
    <r>
      <rPr>
        <sz val="11"/>
        <color theme="1"/>
        <rFont val="Arial"/>
        <family val="2"/>
        <charset val="204"/>
      </rPr>
      <t xml:space="preserve"> продуктивного комбикорма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</si>
  <si>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 + прод.концкорма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</si>
  <si>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r>
      <rPr>
        <b/>
        <sz val="10"/>
        <color theme="1"/>
        <rFont val="Arial"/>
        <family val="2"/>
        <charset val="204"/>
      </rPr>
      <t>Сумма основного корма  + баланс.концкорма</t>
    </r>
    <r>
      <rPr>
        <sz val="10"/>
        <color theme="1"/>
        <rFont val="Arial"/>
        <family val="2"/>
        <charset val="204"/>
      </rPr>
      <t xml:space="preserve"> без потребности на жизнь для ЧЕЛ и иСП</t>
    </r>
  </si>
  <si>
    <t>Содержится в 1 кг СВ продуктивного комбикорма</t>
  </si>
  <si>
    <t>Продуктивного комбикорма в кг по ЧЕЛ</t>
  </si>
  <si>
    <t>Продуктивного комбикорма в кг по иСП</t>
  </si>
  <si>
    <t>Распределение продуктивного комбикорма на разную продуктивность</t>
  </si>
  <si>
    <t>Для количества молока в кг</t>
  </si>
  <si>
    <t>Макс.СВ, кг (3,5% ЖМ)</t>
  </si>
  <si>
    <t>Усвоенный протеин (УП)</t>
  </si>
  <si>
    <t>Балансирующий корм</t>
  </si>
  <si>
    <t>зеленая заливка для свободного ввода</t>
  </si>
  <si>
    <t>Фактический надой</t>
  </si>
  <si>
    <t>кг в день</t>
  </si>
  <si>
    <t>Желаемый надой</t>
  </si>
  <si>
    <t>Поедание корма</t>
  </si>
  <si>
    <t>кг сухого вещества в день</t>
  </si>
  <si>
    <t xml:space="preserve">   розовая - введены формулы</t>
  </si>
  <si>
    <t>ЧЭЛ</t>
  </si>
  <si>
    <t>УП</t>
  </si>
  <si>
    <t>на 1 кг молока по энергии нужно …..кг комбикорма</t>
  </si>
  <si>
    <t>на 1 кг молока по иСП нужно …кг комбикорма</t>
  </si>
  <si>
    <t>Дневной рацион для дойной коровы</t>
  </si>
  <si>
    <t>Отруби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</si>
</sst>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" fontId="2" fillId="3" borderId="0" xfId="0" applyNumberFormat="1" applyFont="1" applyFill="1" applyAlignment="1">
      <alignment wrapText="1"/>
    </xf>
    <xf numFmtId="164" fontId="2" fillId="2" borderId="0" xfId="1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165" fontId="2" fillId="2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2" fontId="2" fillId="0" borderId="1" xfId="0" applyNumberFormat="1" applyFont="1" applyBorder="1" applyAlignment="1">
      <alignment wrapText="1"/>
    </xf>
    <xf numFmtId="1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2" fillId="0" borderId="0" xfId="0" applyFont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horizontal="left" vertical="center"/>
    </xf>
    <xf numFmtId="0" fontId="5" fillId="0" borderId="3" xfId="0" applyFont="1" applyBorder="1" applyAlignment="1"/>
    <xf numFmtId="0" fontId="6" fillId="0" borderId="5" xfId="0" applyFont="1" applyBorder="1" applyAlignment="1"/>
    <xf numFmtId="0" fontId="6" fillId="0" borderId="0" xfId="0" applyFont="1" applyAlignment="1"/>
    <xf numFmtId="0" fontId="6" fillId="0" borderId="9" xfId="0" applyFont="1" applyBorder="1" applyAlignment="1">
      <alignment wrapText="1"/>
    </xf>
    <xf numFmtId="1" fontId="6" fillId="3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3" borderId="9" xfId="0" applyNumberFormat="1" applyFont="1" applyFill="1" applyBorder="1" applyAlignment="1">
      <alignment wrapText="1"/>
    </xf>
    <xf numFmtId="1" fontId="2" fillId="3" borderId="9" xfId="0" applyNumberFormat="1" applyFont="1" applyFill="1" applyBorder="1" applyAlignment="1">
      <alignment wrapText="1"/>
    </xf>
    <xf numFmtId="2" fontId="6" fillId="3" borderId="9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6" fillId="3" borderId="12" xfId="0" applyNumberFormat="1" applyFont="1" applyFill="1" applyBorder="1" applyAlignment="1">
      <alignment wrapText="1"/>
    </xf>
    <xf numFmtId="1" fontId="6" fillId="3" borderId="12" xfId="0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1" fontId="2" fillId="3" borderId="12" xfId="0" applyNumberFormat="1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3" borderId="12" xfId="0" applyNumberFormat="1" applyFont="1" applyFill="1" applyBorder="1" applyAlignment="1">
      <alignment wrapText="1"/>
    </xf>
    <xf numFmtId="1" fontId="4" fillId="3" borderId="11" xfId="0" applyNumberFormat="1" applyFont="1" applyFill="1" applyBorder="1" applyAlignment="1">
      <alignment wrapText="1"/>
    </xf>
    <xf numFmtId="0" fontId="2" fillId="0" borderId="9" xfId="0" applyFont="1" applyBorder="1" applyAlignment="1"/>
    <xf numFmtId="1" fontId="2" fillId="2" borderId="0" xfId="0" applyNumberFormat="1" applyFont="1" applyFill="1" applyAlignment="1">
      <alignment wrapText="1"/>
    </xf>
    <xf numFmtId="0" fontId="3" fillId="0" borderId="0" xfId="0" applyFont="1" applyAlignment="1"/>
    <xf numFmtId="1" fontId="8" fillId="3" borderId="0" xfId="0" applyNumberFormat="1" applyFont="1" applyFill="1" applyAlignment="1">
      <alignment horizontal="left"/>
    </xf>
    <xf numFmtId="0" fontId="2" fillId="0" borderId="0" xfId="0" applyFont="1" applyBorder="1" applyAlignment="1"/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4" fontId="4" fillId="3" borderId="6" xfId="0" applyNumberFormat="1" applyFont="1" applyFill="1" applyBorder="1" applyAlignment="1">
      <alignment wrapText="1"/>
    </xf>
    <xf numFmtId="2" fontId="2" fillId="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164" fontId="2" fillId="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3" borderId="11" xfId="0" applyNumberFormat="1" applyFont="1" applyFill="1" applyBorder="1" applyAlignment="1">
      <alignment wrapText="1"/>
    </xf>
    <xf numFmtId="2" fontId="2" fillId="3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164" fontId="2" fillId="3" borderId="14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3" borderId="14" xfId="0" applyNumberFormat="1" applyFont="1" applyFill="1" applyBorder="1" applyAlignment="1">
      <alignment wrapText="1"/>
    </xf>
    <xf numFmtId="1" fontId="4" fillId="3" borderId="14" xfId="0" applyNumberFormat="1" applyFont="1" applyFill="1" applyBorder="1" applyAlignment="1">
      <alignment wrapText="1"/>
    </xf>
    <xf numFmtId="0" fontId="12" fillId="0" borderId="0" xfId="0" applyFont="1"/>
    <xf numFmtId="166" fontId="2" fillId="3" borderId="1" xfId="0" applyNumberFormat="1" applyFont="1" applyFill="1" applyBorder="1" applyAlignment="1">
      <alignment wrapText="1"/>
    </xf>
    <xf numFmtId="16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90" zoomScaleNormal="90" workbookViewId="0">
      <pane ySplit="8" topLeftCell="A39" activePane="bottomLeft" state="frozenSplit"/>
      <selection pane="bottomLeft" activeCell="X8" sqref="X8"/>
    </sheetView>
  </sheetViews>
  <sheetFormatPr defaultRowHeight="14.25"/>
  <cols>
    <col min="1" max="1" width="23" style="1" customWidth="1"/>
    <col min="2" max="2" width="7.140625" style="1" customWidth="1"/>
    <col min="3" max="3" width="8.140625" style="1" customWidth="1"/>
    <col min="4" max="4" width="8.28515625" style="1" customWidth="1"/>
    <col min="5" max="5" width="7.7109375" style="1" bestFit="1" customWidth="1"/>
    <col min="6" max="6" width="8.85546875" style="1" customWidth="1"/>
    <col min="7" max="7" width="9.140625" style="1" customWidth="1"/>
    <col min="8" max="8" width="8" style="1" customWidth="1"/>
    <col min="9" max="9" width="7.7109375" style="1" bestFit="1" customWidth="1"/>
    <col min="10" max="10" width="8.28515625" style="1" bestFit="1" customWidth="1"/>
    <col min="11" max="11" width="7.7109375" style="1" bestFit="1" customWidth="1"/>
    <col min="12" max="12" width="8.28515625" style="1" bestFit="1" customWidth="1"/>
    <col min="13" max="13" width="7.7109375" style="1" bestFit="1" customWidth="1"/>
    <col min="14" max="14" width="5.85546875" style="1" bestFit="1" customWidth="1"/>
    <col min="15" max="15" width="7.7109375" style="1" bestFit="1" customWidth="1"/>
    <col min="16" max="16" width="5.85546875" style="1" bestFit="1" customWidth="1"/>
    <col min="17" max="17" width="6" style="1" customWidth="1"/>
    <col min="18" max="18" width="7.140625" style="1" customWidth="1"/>
    <col min="19" max="16384" width="9.140625" style="1"/>
  </cols>
  <sheetData>
    <row r="1" spans="1:19" ht="18">
      <c r="A1" s="38" t="s">
        <v>65</v>
      </c>
      <c r="I1" s="55" t="s">
        <v>54</v>
      </c>
      <c r="J1" s="56"/>
      <c r="K1" s="56"/>
      <c r="L1" s="56"/>
      <c r="M1" s="56"/>
      <c r="N1" s="65" t="s">
        <v>60</v>
      </c>
      <c r="O1" s="57"/>
      <c r="P1" s="57"/>
      <c r="Q1" s="57"/>
      <c r="R1" s="57"/>
    </row>
    <row r="2" spans="1:19" ht="3.75" customHeight="1"/>
    <row r="3" spans="1:19" ht="14.25" customHeight="1">
      <c r="A3" s="30" t="s">
        <v>25</v>
      </c>
      <c r="B3" s="5">
        <v>600</v>
      </c>
      <c r="C3" s="3" t="s">
        <v>26</v>
      </c>
      <c r="E3" s="94" t="s">
        <v>27</v>
      </c>
      <c r="F3" s="94"/>
      <c r="G3" s="8">
        <v>4</v>
      </c>
      <c r="H3" s="3" t="s">
        <v>21</v>
      </c>
      <c r="J3" s="39" t="s">
        <v>28</v>
      </c>
      <c r="L3" s="9">
        <v>3.4</v>
      </c>
      <c r="M3" s="3" t="s">
        <v>21</v>
      </c>
      <c r="N3" s="94" t="s">
        <v>51</v>
      </c>
      <c r="O3" s="94"/>
      <c r="P3" s="94"/>
      <c r="Q3" s="94"/>
      <c r="R3" s="7">
        <f>+B3*3.5/100</f>
        <v>21</v>
      </c>
      <c r="S3" s="89"/>
    </row>
    <row r="4" spans="1:19" ht="6" customHeight="1">
      <c r="C4" s="3"/>
      <c r="H4" s="3"/>
      <c r="M4" s="3"/>
    </row>
    <row r="5" spans="1:19" ht="14.25" customHeight="1">
      <c r="A5" s="31" t="s">
        <v>55</v>
      </c>
      <c r="B5" s="5">
        <v>18</v>
      </c>
      <c r="C5" s="64" t="s">
        <v>56</v>
      </c>
      <c r="E5" s="94" t="s">
        <v>57</v>
      </c>
      <c r="F5" s="94"/>
      <c r="G5" s="8">
        <v>20</v>
      </c>
      <c r="H5" s="64" t="s">
        <v>56</v>
      </c>
      <c r="J5" s="39" t="s">
        <v>58</v>
      </c>
      <c r="L5" s="63">
        <v>15</v>
      </c>
      <c r="M5" s="64" t="s">
        <v>59</v>
      </c>
      <c r="N5" s="3"/>
      <c r="O5" s="3"/>
      <c r="P5" s="3"/>
      <c r="Q5" s="3"/>
      <c r="R5" s="26"/>
    </row>
    <row r="6" spans="1:19" ht="6" customHeight="1">
      <c r="H6" s="3"/>
    </row>
    <row r="7" spans="1:19" ht="30.75" customHeight="1">
      <c r="A7" s="97" t="s">
        <v>1</v>
      </c>
      <c r="B7" s="99" t="s">
        <v>2</v>
      </c>
      <c r="C7" s="93" t="s">
        <v>3</v>
      </c>
      <c r="D7" s="93"/>
      <c r="E7" s="93" t="s">
        <v>4</v>
      </c>
      <c r="F7" s="93"/>
      <c r="G7" s="93" t="s">
        <v>52</v>
      </c>
      <c r="H7" s="93"/>
      <c r="I7" s="93" t="s">
        <v>8</v>
      </c>
      <c r="J7" s="93"/>
      <c r="K7" s="95" t="s">
        <v>7</v>
      </c>
      <c r="L7" s="96"/>
      <c r="M7" s="93" t="s">
        <v>9</v>
      </c>
      <c r="N7" s="93"/>
      <c r="O7" s="93" t="s">
        <v>10</v>
      </c>
      <c r="P7" s="93"/>
      <c r="Q7" s="93" t="s">
        <v>35</v>
      </c>
      <c r="R7" s="93"/>
    </row>
    <row r="8" spans="1:19" ht="85.5">
      <c r="A8" s="98"/>
      <c r="B8" s="100"/>
      <c r="C8" s="18" t="s">
        <v>11</v>
      </c>
      <c r="D8" s="18" t="s">
        <v>37</v>
      </c>
      <c r="E8" s="18" t="s">
        <v>5</v>
      </c>
      <c r="F8" s="18" t="s">
        <v>12</v>
      </c>
      <c r="G8" s="18" t="s">
        <v>6</v>
      </c>
      <c r="H8" s="18" t="s">
        <v>13</v>
      </c>
      <c r="I8" s="18" t="s">
        <v>6</v>
      </c>
      <c r="J8" s="18" t="s">
        <v>13</v>
      </c>
      <c r="K8" s="18" t="s">
        <v>6</v>
      </c>
      <c r="L8" s="18" t="s">
        <v>13</v>
      </c>
      <c r="M8" s="18" t="s">
        <v>6</v>
      </c>
      <c r="N8" s="18" t="s">
        <v>13</v>
      </c>
      <c r="O8" s="18" t="s">
        <v>6</v>
      </c>
      <c r="P8" s="18" t="s">
        <v>13</v>
      </c>
      <c r="Q8" s="18" t="s">
        <v>6</v>
      </c>
      <c r="R8" s="18" t="s">
        <v>13</v>
      </c>
    </row>
    <row r="9" spans="1:19">
      <c r="A9" s="12" t="s">
        <v>22</v>
      </c>
      <c r="B9" s="12">
        <v>20</v>
      </c>
      <c r="C9" s="12">
        <v>330</v>
      </c>
      <c r="D9" s="13">
        <f>+B9*C9/1000</f>
        <v>6.6</v>
      </c>
      <c r="E9" s="12">
        <v>6.6</v>
      </c>
      <c r="F9" s="14">
        <f>+E9*D9</f>
        <v>43.559999999999995</v>
      </c>
      <c r="G9" s="12">
        <v>133</v>
      </c>
      <c r="H9" s="15">
        <f>+G9*D9</f>
        <v>877.8</v>
      </c>
      <c r="I9" s="12">
        <v>-8</v>
      </c>
      <c r="J9" s="13">
        <f>+I9*D9</f>
        <v>-52.8</v>
      </c>
      <c r="K9" s="12">
        <v>185</v>
      </c>
      <c r="L9" s="15">
        <f>+K9*D9</f>
        <v>1221</v>
      </c>
      <c r="M9" s="12">
        <v>2.5</v>
      </c>
      <c r="N9" s="14">
        <f>+M9*D9</f>
        <v>16.5</v>
      </c>
      <c r="O9" s="12">
        <v>2.5</v>
      </c>
      <c r="P9" s="14">
        <f>+O9*D9</f>
        <v>16.5</v>
      </c>
      <c r="Q9" s="12">
        <v>0.3</v>
      </c>
      <c r="R9" s="14">
        <f>+Q9*D9</f>
        <v>1.9799999999999998</v>
      </c>
    </row>
    <row r="10" spans="1:19">
      <c r="A10" s="12" t="s">
        <v>23</v>
      </c>
      <c r="B10" s="12">
        <v>13</v>
      </c>
      <c r="C10" s="12">
        <v>400</v>
      </c>
      <c r="D10" s="13">
        <f>+B10*C10/1000</f>
        <v>5.2</v>
      </c>
      <c r="E10" s="12">
        <v>6.1</v>
      </c>
      <c r="F10" s="14">
        <f>+E10*D10</f>
        <v>31.72</v>
      </c>
      <c r="G10" s="12">
        <v>137</v>
      </c>
      <c r="H10" s="15">
        <f>+G10*D10</f>
        <v>712.4</v>
      </c>
      <c r="I10" s="12">
        <v>5</v>
      </c>
      <c r="J10" s="13">
        <f>+I10*D10</f>
        <v>26</v>
      </c>
      <c r="K10" s="12">
        <v>260</v>
      </c>
      <c r="L10" s="15">
        <f>+K10*D10</f>
        <v>1352</v>
      </c>
      <c r="M10" s="12">
        <v>5.9</v>
      </c>
      <c r="N10" s="14">
        <f>+M10*D10</f>
        <v>30.680000000000003</v>
      </c>
      <c r="O10" s="12">
        <v>3.8</v>
      </c>
      <c r="P10" s="14">
        <f>+O10*D10</f>
        <v>19.759999999999998</v>
      </c>
      <c r="Q10" s="12">
        <v>0.5</v>
      </c>
      <c r="R10" s="14">
        <f>+Q10*D10</f>
        <v>2.6</v>
      </c>
    </row>
    <row r="11" spans="1:19">
      <c r="A11" s="12" t="s">
        <v>39</v>
      </c>
      <c r="B11" s="12">
        <v>1</v>
      </c>
      <c r="C11" s="12">
        <v>860</v>
      </c>
      <c r="D11" s="13">
        <f>+B11*C11/1000</f>
        <v>0.86</v>
      </c>
      <c r="E11" s="12">
        <v>5.92</v>
      </c>
      <c r="F11" s="14">
        <f>+E11*D11</f>
        <v>5.0911999999999997</v>
      </c>
      <c r="G11" s="12">
        <v>137</v>
      </c>
      <c r="H11" s="15">
        <f>+G11*D11</f>
        <v>117.82</v>
      </c>
      <c r="I11" s="12">
        <v>3</v>
      </c>
      <c r="J11" s="13">
        <f>+I11*D11</f>
        <v>2.58</v>
      </c>
      <c r="K11" s="12">
        <v>225</v>
      </c>
      <c r="L11" s="15">
        <f>+K11*D11</f>
        <v>193.5</v>
      </c>
      <c r="M11" s="12">
        <v>7.2</v>
      </c>
      <c r="N11" s="14">
        <f>+M11*D11</f>
        <v>6.1920000000000002</v>
      </c>
      <c r="O11" s="12">
        <v>3.5</v>
      </c>
      <c r="P11" s="14">
        <f>+O11*D11</f>
        <v>3.01</v>
      </c>
      <c r="Q11" s="12">
        <v>0.4</v>
      </c>
      <c r="R11" s="14">
        <f>+Q11*D11</f>
        <v>0.34400000000000003</v>
      </c>
    </row>
    <row r="12" spans="1:19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9" ht="30.75" customHeight="1">
      <c r="A13" s="11" t="s">
        <v>17</v>
      </c>
      <c r="B13" s="13">
        <f>SUM(B9:B12)</f>
        <v>34</v>
      </c>
      <c r="C13" s="11"/>
      <c r="D13" s="13">
        <f>SUM(D9:D12)</f>
        <v>12.66</v>
      </c>
      <c r="E13" s="11"/>
      <c r="F13" s="14">
        <f>SUM(F9:F12)</f>
        <v>80.371200000000002</v>
      </c>
      <c r="G13" s="11"/>
      <c r="H13" s="15">
        <f>SUM(H9:H12)</f>
        <v>1708.0199999999998</v>
      </c>
      <c r="I13" s="11"/>
      <c r="J13" s="13">
        <f>SUM(J9:J12)</f>
        <v>-24.22</v>
      </c>
      <c r="K13" s="11"/>
      <c r="L13" s="15">
        <f>SUM(L9:L12)</f>
        <v>2766.5</v>
      </c>
      <c r="M13" s="11"/>
      <c r="N13" s="14">
        <f>SUM(N9:N12)</f>
        <v>53.372000000000007</v>
      </c>
      <c r="O13" s="11"/>
      <c r="P13" s="14">
        <f>SUM(P9:P12)</f>
        <v>39.269999999999996</v>
      </c>
      <c r="Q13" s="11"/>
      <c r="R13" s="14">
        <f>SUM(R9:R12)</f>
        <v>4.9240000000000004</v>
      </c>
    </row>
    <row r="14" spans="1:19" s="22" customFormat="1" ht="14.25" customHeight="1">
      <c r="A14" s="41" t="s">
        <v>14</v>
      </c>
      <c r="B14" s="51"/>
      <c r="C14" s="51"/>
      <c r="D14" s="51"/>
      <c r="E14" s="51"/>
      <c r="F14" s="52">
        <f>0.293*B3^0.75</f>
        <v>35.520662572215024</v>
      </c>
      <c r="G14" s="51"/>
      <c r="H14" s="53">
        <f>+(431*1.05)+(B3-650)/2.5</f>
        <v>432.55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9" ht="14.25" customHeight="1">
      <c r="A15" s="2" t="s">
        <v>18</v>
      </c>
      <c r="B15" s="45"/>
      <c r="C15" s="45"/>
      <c r="D15" s="45"/>
      <c r="E15" s="45"/>
      <c r="F15" s="46">
        <f>+F13-F14</f>
        <v>44.850537427784978</v>
      </c>
      <c r="G15" s="45"/>
      <c r="H15" s="47">
        <f>+H13-H14</f>
        <v>1275.4699999999998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9" s="22" customFormat="1" ht="14.25" customHeight="1">
      <c r="A16" s="42" t="s">
        <v>15</v>
      </c>
      <c r="B16" s="43"/>
      <c r="C16" s="43"/>
      <c r="D16" s="43"/>
      <c r="E16" s="43"/>
      <c r="F16" s="48">
        <f>1.05+(0.38*G3)+(0.21*L3)</f>
        <v>3.2840000000000003</v>
      </c>
      <c r="G16" s="43"/>
      <c r="H16" s="44">
        <f>+(81*1.05)+(10*L3-34)*2.1</f>
        <v>85.05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" customHeight="1">
      <c r="A17" s="2" t="s">
        <v>16</v>
      </c>
      <c r="B17" s="45"/>
      <c r="C17" s="45"/>
      <c r="D17" s="45"/>
      <c r="E17" s="45"/>
      <c r="F17" s="49">
        <f>+F15/F16</f>
        <v>13.657289107120882</v>
      </c>
      <c r="G17" s="50"/>
      <c r="H17" s="49">
        <f>+H15/H16</f>
        <v>14.996707818930039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 customHeight="1">
      <c r="A18" s="40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12" t="s">
        <v>29</v>
      </c>
      <c r="B19" s="12">
        <v>1</v>
      </c>
      <c r="C19" s="12">
        <v>880</v>
      </c>
      <c r="D19" s="14">
        <f>+B19*C19/1000</f>
        <v>0.88</v>
      </c>
      <c r="E19" s="12">
        <v>8.6</v>
      </c>
      <c r="F19" s="14">
        <f>+E19*D19</f>
        <v>7.5679999999999996</v>
      </c>
      <c r="G19" s="12">
        <v>288</v>
      </c>
      <c r="H19" s="15">
        <f>+G19*D19</f>
        <v>253.44</v>
      </c>
      <c r="I19" s="12">
        <v>36</v>
      </c>
      <c r="J19" s="15">
        <f>+I19*D19</f>
        <v>31.68</v>
      </c>
      <c r="K19" s="12">
        <v>67</v>
      </c>
      <c r="L19" s="15">
        <f>+K19*D19</f>
        <v>58.96</v>
      </c>
      <c r="M19" s="12">
        <v>3.4</v>
      </c>
      <c r="N19" s="14">
        <f>+M19*D19</f>
        <v>2.992</v>
      </c>
      <c r="O19" s="12">
        <v>7.3</v>
      </c>
      <c r="P19" s="14">
        <f>+O19*D19</f>
        <v>6.4239999999999995</v>
      </c>
      <c r="Q19" s="12">
        <v>0.3</v>
      </c>
      <c r="R19" s="14">
        <f>+Q19*D19</f>
        <v>0.26400000000000001</v>
      </c>
    </row>
    <row r="20" spans="1:18">
      <c r="A20" s="12" t="s">
        <v>24</v>
      </c>
      <c r="B20" s="12">
        <v>0</v>
      </c>
      <c r="C20" s="12">
        <v>880</v>
      </c>
      <c r="D20" s="13">
        <f>+B20*C20/1000</f>
        <v>0</v>
      </c>
      <c r="E20" s="12">
        <v>8.2100000000000009</v>
      </c>
      <c r="F20" s="14">
        <f>+E20*D20</f>
        <v>0</v>
      </c>
      <c r="G20" s="12">
        <v>165</v>
      </c>
      <c r="H20" s="15">
        <f>+G20*D20</f>
        <v>0</v>
      </c>
      <c r="I20" s="12">
        <v>-6</v>
      </c>
      <c r="J20" s="15">
        <f>+I20*D20</f>
        <v>0</v>
      </c>
      <c r="K20" s="12">
        <v>50</v>
      </c>
      <c r="L20" s="15">
        <f>+K20*D20</f>
        <v>0</v>
      </c>
      <c r="M20" s="12">
        <v>0.7</v>
      </c>
      <c r="N20" s="14">
        <f>+M20*D20</f>
        <v>0</v>
      </c>
      <c r="O20" s="12">
        <v>4</v>
      </c>
      <c r="P20" s="14">
        <f>+O20*D20</f>
        <v>0</v>
      </c>
      <c r="Q20" s="12">
        <v>0.3</v>
      </c>
      <c r="R20" s="14">
        <f>+Q20*D20</f>
        <v>0</v>
      </c>
    </row>
    <row r="21" spans="1:18" ht="29.25" customHeight="1">
      <c r="A21" s="21" t="s">
        <v>38</v>
      </c>
      <c r="B21" s="13">
        <f>SUM(B17:B20)</f>
        <v>1</v>
      </c>
      <c r="C21" s="11"/>
      <c r="D21" s="14">
        <f>SUM(D19:D20)</f>
        <v>0.88</v>
      </c>
      <c r="E21" s="11"/>
      <c r="F21" s="14">
        <f>SUM(F19:F20)</f>
        <v>7.5679999999999996</v>
      </c>
      <c r="G21" s="11"/>
      <c r="H21" s="15">
        <f>SUM(H19:H20)</f>
        <v>253.44</v>
      </c>
      <c r="I21" s="11"/>
      <c r="J21" s="15">
        <f>SUM(J19:J20)</f>
        <v>31.68</v>
      </c>
      <c r="K21" s="11"/>
      <c r="L21" s="15">
        <f>SUM(L19:L20)</f>
        <v>58.96</v>
      </c>
      <c r="M21" s="11"/>
      <c r="N21" s="14">
        <f>SUM(N19:N20)</f>
        <v>2.992</v>
      </c>
      <c r="O21" s="11"/>
      <c r="P21" s="14">
        <f>SUM(P19:P20)</f>
        <v>6.4239999999999995</v>
      </c>
      <c r="Q21" s="11"/>
      <c r="R21" s="14">
        <f>SUM(R19:R20)</f>
        <v>0.26400000000000001</v>
      </c>
    </row>
    <row r="22" spans="1:18" ht="71.25" customHeight="1">
      <c r="A22" s="3" t="s">
        <v>45</v>
      </c>
      <c r="B22" s="58">
        <f>+B13+B21</f>
        <v>35</v>
      </c>
      <c r="C22" s="59"/>
      <c r="D22" s="60">
        <f>+D13+D21</f>
        <v>13.540000000000001</v>
      </c>
      <c r="E22" s="59"/>
      <c r="F22" s="60">
        <f>+F15+F21</f>
        <v>52.418537427784976</v>
      </c>
      <c r="G22" s="59"/>
      <c r="H22" s="58">
        <f>+H15+H21</f>
        <v>1528.9099999999999</v>
      </c>
      <c r="I22" s="59"/>
      <c r="J22" s="61">
        <f>+J13+J21</f>
        <v>7.4600000000000009</v>
      </c>
      <c r="K22" s="59"/>
      <c r="L22" s="58">
        <f>+L13+L21</f>
        <v>2825.46</v>
      </c>
      <c r="M22" s="59"/>
      <c r="N22" s="60">
        <f>+N13+N21</f>
        <v>56.364000000000004</v>
      </c>
      <c r="O22" s="59"/>
      <c r="P22" s="60">
        <f>+P13+P21</f>
        <v>45.693999999999996</v>
      </c>
      <c r="Q22" s="59"/>
      <c r="R22" s="60">
        <f>+R13+R21</f>
        <v>5.1880000000000006</v>
      </c>
    </row>
    <row r="23" spans="1:18" ht="15" customHeight="1">
      <c r="A23" s="2" t="s">
        <v>16</v>
      </c>
      <c r="B23" s="62"/>
      <c r="C23" s="62"/>
      <c r="D23" s="62"/>
      <c r="E23" s="45"/>
      <c r="F23" s="49">
        <f>+F22/F16</f>
        <v>15.961795806268261</v>
      </c>
      <c r="G23" s="45"/>
      <c r="H23" s="49">
        <f>+H22/H16</f>
        <v>17.976601998824218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40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>
      <c r="A25" s="12" t="s">
        <v>29</v>
      </c>
      <c r="B25" s="12">
        <v>0.5</v>
      </c>
      <c r="C25" s="12">
        <v>880</v>
      </c>
      <c r="D25" s="14">
        <f t="shared" ref="D25:D31" si="0">+B25*C25/1000</f>
        <v>0.44</v>
      </c>
      <c r="E25" s="12">
        <v>8.6</v>
      </c>
      <c r="F25" s="14">
        <f>+E25*D25</f>
        <v>3.7839999999999998</v>
      </c>
      <c r="G25" s="12">
        <v>288</v>
      </c>
      <c r="H25" s="15">
        <f>+G25*D25</f>
        <v>126.72</v>
      </c>
      <c r="I25" s="12">
        <v>36</v>
      </c>
      <c r="J25" s="15">
        <f>+I25*D25</f>
        <v>15.84</v>
      </c>
      <c r="K25" s="12">
        <v>67</v>
      </c>
      <c r="L25" s="15">
        <f>+K25*D25</f>
        <v>29.48</v>
      </c>
      <c r="M25" s="12">
        <v>3.4</v>
      </c>
      <c r="N25" s="14">
        <f t="shared" ref="N25:N30" si="1">+M25*D25</f>
        <v>1.496</v>
      </c>
      <c r="O25" s="12">
        <v>7.3</v>
      </c>
      <c r="P25" s="14">
        <f t="shared" ref="P25:P30" si="2">+O25*D25</f>
        <v>3.2119999999999997</v>
      </c>
      <c r="Q25" s="12">
        <v>0.3</v>
      </c>
      <c r="R25" s="14">
        <f t="shared" ref="R25:R31" si="3">+Q25*D25</f>
        <v>0.13200000000000001</v>
      </c>
    </row>
    <row r="26" spans="1:18">
      <c r="A26" s="12" t="s">
        <v>32</v>
      </c>
      <c r="B26" s="12">
        <v>0</v>
      </c>
      <c r="C26" s="12">
        <v>880</v>
      </c>
      <c r="D26" s="13">
        <f t="shared" si="0"/>
        <v>0</v>
      </c>
      <c r="E26" s="12">
        <v>6.01</v>
      </c>
      <c r="F26" s="14">
        <f>+E26*D26</f>
        <v>0</v>
      </c>
      <c r="G26" s="12">
        <v>203</v>
      </c>
      <c r="H26" s="15">
        <f>+G26*D26</f>
        <v>0</v>
      </c>
      <c r="I26" s="12">
        <v>29</v>
      </c>
      <c r="J26" s="15">
        <f>+I26*D26</f>
        <v>0</v>
      </c>
      <c r="K26" s="12">
        <v>222</v>
      </c>
      <c r="L26" s="15">
        <f>+K26*D26</f>
        <v>0</v>
      </c>
      <c r="M26" s="12">
        <v>4</v>
      </c>
      <c r="N26" s="14">
        <f t="shared" si="1"/>
        <v>0</v>
      </c>
      <c r="O26" s="12">
        <v>10.7</v>
      </c>
      <c r="P26" s="14">
        <f t="shared" si="2"/>
        <v>0</v>
      </c>
      <c r="Q26" s="12">
        <v>0.5</v>
      </c>
      <c r="R26" s="14">
        <f t="shared" si="3"/>
        <v>0</v>
      </c>
    </row>
    <row r="27" spans="1:18">
      <c r="A27" s="12" t="s">
        <v>24</v>
      </c>
      <c r="B27" s="12"/>
      <c r="C27" s="12">
        <v>880</v>
      </c>
      <c r="D27" s="13">
        <f t="shared" si="0"/>
        <v>0</v>
      </c>
      <c r="E27" s="12">
        <v>8.2100000000000009</v>
      </c>
      <c r="F27" s="14">
        <f>+E27*D27</f>
        <v>0</v>
      </c>
      <c r="G27" s="12">
        <v>165</v>
      </c>
      <c r="H27" s="15">
        <f>+G27*D27</f>
        <v>0</v>
      </c>
      <c r="I27" s="12">
        <v>-6</v>
      </c>
      <c r="J27" s="15">
        <f>+I27*D27</f>
        <v>0</v>
      </c>
      <c r="K27" s="12">
        <v>50</v>
      </c>
      <c r="L27" s="15">
        <f>+K27*D27</f>
        <v>0</v>
      </c>
      <c r="M27" s="12">
        <v>0.7</v>
      </c>
      <c r="N27" s="14">
        <f t="shared" si="1"/>
        <v>0</v>
      </c>
      <c r="O27" s="12">
        <v>4</v>
      </c>
      <c r="P27" s="14">
        <f t="shared" si="2"/>
        <v>0</v>
      </c>
      <c r="Q27" s="12">
        <v>0.3</v>
      </c>
      <c r="R27" s="14">
        <f t="shared" si="3"/>
        <v>0</v>
      </c>
    </row>
    <row r="28" spans="1:18">
      <c r="A28" s="12" t="s">
        <v>30</v>
      </c>
      <c r="B28" s="12">
        <v>0.5</v>
      </c>
      <c r="C28" s="12">
        <v>880</v>
      </c>
      <c r="D28" s="13">
        <f t="shared" si="0"/>
        <v>0.44</v>
      </c>
      <c r="E28" s="12">
        <v>8.5299999999999994</v>
      </c>
      <c r="F28" s="14">
        <f>+E28*D28</f>
        <v>3.7531999999999996</v>
      </c>
      <c r="G28" s="12">
        <v>170</v>
      </c>
      <c r="H28" s="15">
        <f>+G28*D28</f>
        <v>74.8</v>
      </c>
      <c r="I28" s="12">
        <v>-5</v>
      </c>
      <c r="J28" s="15">
        <f>+I28*D28</f>
        <v>-2.2000000000000002</v>
      </c>
      <c r="K28" s="12">
        <v>30</v>
      </c>
      <c r="L28" s="15">
        <f>+K28*D28</f>
        <v>13.2</v>
      </c>
      <c r="M28" s="12">
        <v>0.7</v>
      </c>
      <c r="N28" s="14">
        <f t="shared" si="1"/>
        <v>0.308</v>
      </c>
      <c r="O28" s="12">
        <v>3.8</v>
      </c>
      <c r="P28" s="14">
        <f t="shared" si="2"/>
        <v>1.6719999999999999</v>
      </c>
      <c r="Q28" s="12">
        <v>0.3</v>
      </c>
      <c r="R28" s="14">
        <f t="shared" si="3"/>
        <v>0.13200000000000001</v>
      </c>
    </row>
    <row r="29" spans="1:18">
      <c r="A29" s="12" t="s">
        <v>31</v>
      </c>
      <c r="B29" s="12">
        <v>1</v>
      </c>
      <c r="C29" s="12">
        <v>880</v>
      </c>
      <c r="D29" s="13">
        <f t="shared" si="0"/>
        <v>0.88</v>
      </c>
      <c r="E29" s="12">
        <v>8.3800000000000008</v>
      </c>
      <c r="F29" s="14">
        <f>+E29*D29</f>
        <v>7.3744000000000005</v>
      </c>
      <c r="G29" s="12">
        <v>166</v>
      </c>
      <c r="H29" s="15">
        <f>+G29*D29</f>
        <v>146.08000000000001</v>
      </c>
      <c r="I29" s="12">
        <v>-10</v>
      </c>
      <c r="J29" s="15">
        <f>+I29*D29</f>
        <v>-8.8000000000000007</v>
      </c>
      <c r="K29" s="12">
        <v>26</v>
      </c>
      <c r="L29" s="15">
        <f>+K29*D29</f>
        <v>22.88</v>
      </c>
      <c r="M29" s="12">
        <v>0.4</v>
      </c>
      <c r="N29" s="14">
        <f t="shared" si="1"/>
        <v>0.35200000000000004</v>
      </c>
      <c r="O29" s="12">
        <v>3.5</v>
      </c>
      <c r="P29" s="14">
        <f t="shared" si="2"/>
        <v>3.08</v>
      </c>
      <c r="Q29" s="12">
        <v>0.2</v>
      </c>
      <c r="R29" s="14">
        <f t="shared" si="3"/>
        <v>0.17600000000000002</v>
      </c>
    </row>
    <row r="30" spans="1:18">
      <c r="A30" s="12" t="s">
        <v>34</v>
      </c>
      <c r="B30" s="17">
        <v>7.0000000000000007E-2</v>
      </c>
      <c r="C30" s="12">
        <v>997</v>
      </c>
      <c r="D30" s="16">
        <f t="shared" si="0"/>
        <v>6.9790000000000005E-2</v>
      </c>
      <c r="E30" s="12"/>
      <c r="F30" s="14"/>
      <c r="G30" s="12"/>
      <c r="H30" s="15"/>
      <c r="I30" s="12"/>
      <c r="J30" s="15"/>
      <c r="K30" s="12"/>
      <c r="L30" s="15"/>
      <c r="M30" s="12">
        <v>383</v>
      </c>
      <c r="N30" s="14">
        <f t="shared" si="1"/>
        <v>26.729570000000002</v>
      </c>
      <c r="O30" s="12">
        <v>0.4</v>
      </c>
      <c r="P30" s="14">
        <f t="shared" si="2"/>
        <v>2.7916000000000003E-2</v>
      </c>
      <c r="Q30" s="12"/>
      <c r="R30" s="14">
        <f t="shared" si="3"/>
        <v>0</v>
      </c>
    </row>
    <row r="31" spans="1:18">
      <c r="A31" s="12" t="s">
        <v>36</v>
      </c>
      <c r="B31" s="20">
        <v>4.4999999999999998E-2</v>
      </c>
      <c r="C31" s="12">
        <v>995</v>
      </c>
      <c r="D31" s="16">
        <f t="shared" si="0"/>
        <v>4.4774999999999995E-2</v>
      </c>
      <c r="E31" s="12"/>
      <c r="F31" s="14"/>
      <c r="G31" s="12"/>
      <c r="H31" s="15"/>
      <c r="I31" s="12"/>
      <c r="J31" s="15"/>
      <c r="K31" s="12"/>
      <c r="L31" s="15"/>
      <c r="M31" s="12"/>
      <c r="N31" s="14"/>
      <c r="O31" s="12"/>
      <c r="P31" s="14"/>
      <c r="Q31" s="12">
        <v>367</v>
      </c>
      <c r="R31" s="14">
        <f t="shared" si="3"/>
        <v>16.432424999999999</v>
      </c>
    </row>
    <row r="32" spans="1:18">
      <c r="A32" s="12"/>
      <c r="B32" s="12"/>
      <c r="C32" s="12"/>
      <c r="D32" s="13"/>
      <c r="E32" s="12"/>
      <c r="F32" s="14"/>
      <c r="G32" s="12"/>
      <c r="H32" s="15"/>
      <c r="I32" s="12"/>
      <c r="J32" s="15"/>
      <c r="K32" s="12"/>
      <c r="L32" s="15"/>
      <c r="M32" s="12"/>
      <c r="N32" s="14"/>
      <c r="O32" s="12"/>
      <c r="P32" s="14"/>
      <c r="Q32" s="12"/>
      <c r="R32" s="14"/>
    </row>
    <row r="33" spans="1:18">
      <c r="A33" s="12"/>
      <c r="B33" s="12"/>
      <c r="C33" s="12"/>
      <c r="D33" s="13"/>
      <c r="E33" s="12"/>
      <c r="F33" s="14"/>
      <c r="G33" s="12"/>
      <c r="H33" s="15"/>
      <c r="I33" s="12"/>
      <c r="J33" s="15"/>
      <c r="K33" s="12"/>
      <c r="L33" s="15"/>
      <c r="M33" s="12"/>
      <c r="N33" s="14"/>
      <c r="O33" s="12"/>
      <c r="P33" s="14"/>
      <c r="Q33" s="12"/>
      <c r="R33" s="14"/>
    </row>
    <row r="34" spans="1:18" ht="42.75" customHeight="1">
      <c r="A34" s="21" t="s">
        <v>43</v>
      </c>
      <c r="B34" s="16">
        <f>SUM(B25:B33)</f>
        <v>2.1149999999999998</v>
      </c>
      <c r="C34" s="15">
        <f>+D34/B34*1000</f>
        <v>886.31914893617034</v>
      </c>
      <c r="D34" s="14">
        <f>SUM(D25:D33)</f>
        <v>1.874565</v>
      </c>
      <c r="E34" s="11"/>
      <c r="F34" s="14">
        <f>SUM(F25:F33)</f>
        <v>14.9116</v>
      </c>
      <c r="G34" s="11"/>
      <c r="H34" s="15">
        <f>SUM(H25:H33)</f>
        <v>347.6</v>
      </c>
      <c r="I34" s="11"/>
      <c r="J34" s="15">
        <f>SUM(J25:J33)</f>
        <v>4.84</v>
      </c>
      <c r="K34" s="11"/>
      <c r="L34" s="15">
        <f>SUM(L25:L33)</f>
        <v>65.56</v>
      </c>
      <c r="M34" s="11"/>
      <c r="N34" s="14">
        <f>SUM(N25:N33)</f>
        <v>28.885570000000001</v>
      </c>
      <c r="O34" s="11"/>
      <c r="P34" s="14">
        <f>SUM(P25:P33)</f>
        <v>7.9919159999999998</v>
      </c>
      <c r="Q34" s="11"/>
      <c r="R34" s="14">
        <f>SUM(R25:R33)</f>
        <v>16.872425</v>
      </c>
    </row>
    <row r="35" spans="1:18" ht="81.75" customHeight="1">
      <c r="A35" s="23" t="s">
        <v>44</v>
      </c>
      <c r="B35" s="78">
        <f>+B34+B22</f>
        <v>37.115000000000002</v>
      </c>
      <c r="C35" s="79"/>
      <c r="D35" s="80">
        <f>+D34+D22</f>
        <v>15.414565000000001</v>
      </c>
      <c r="E35" s="81"/>
      <c r="F35" s="80">
        <f>+F34+F22</f>
        <v>67.330137427784976</v>
      </c>
      <c r="G35" s="81"/>
      <c r="H35" s="82">
        <f>+H34+H22</f>
        <v>1876.5099999999998</v>
      </c>
      <c r="I35" s="81"/>
      <c r="J35" s="61">
        <f>+J34+J22</f>
        <v>12.3</v>
      </c>
      <c r="K35" s="81"/>
      <c r="L35" s="82">
        <f>+L34+L22</f>
        <v>2891.02</v>
      </c>
      <c r="M35" s="81"/>
      <c r="N35" s="80">
        <f>+N34+N22</f>
        <v>85.249570000000006</v>
      </c>
      <c r="O35" s="81"/>
      <c r="P35" s="80">
        <f>+P34+P22</f>
        <v>53.685915999999992</v>
      </c>
      <c r="Q35" s="81"/>
      <c r="R35" s="80">
        <f>+R34+R22</f>
        <v>22.060425000000002</v>
      </c>
    </row>
    <row r="36" spans="1:18" ht="15" customHeight="1">
      <c r="A36" s="66" t="s">
        <v>16</v>
      </c>
      <c r="B36" s="66"/>
      <c r="C36" s="66"/>
      <c r="D36" s="66"/>
      <c r="F36" s="77">
        <f>+F35/F16</f>
        <v>20.50247790127435</v>
      </c>
      <c r="H36" s="77">
        <f>+H35/H16</f>
        <v>22.063609641387416</v>
      </c>
    </row>
    <row r="38" spans="1:18" ht="18">
      <c r="A38" s="32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ht="14.25" customHeight="1">
      <c r="A39" s="67" t="s">
        <v>20</v>
      </c>
      <c r="B39" s="67"/>
      <c r="C39" s="67"/>
      <c r="D39" s="67"/>
      <c r="E39" s="67"/>
      <c r="F39" s="19">
        <f>+L35/D35/10</f>
        <v>18.755118941079424</v>
      </c>
      <c r="G39" s="37" t="s">
        <v>21</v>
      </c>
      <c r="H39" s="37"/>
      <c r="K39" s="37"/>
      <c r="N39" s="10">
        <f>+N35/D35</f>
        <v>5.5304557734843636</v>
      </c>
      <c r="P39" s="6">
        <f>+P35/D35</f>
        <v>3.4828044774536284</v>
      </c>
      <c r="R39" s="6">
        <f>+R35/D35</f>
        <v>1.4311415858961962</v>
      </c>
    </row>
    <row r="40" spans="1:18" ht="17.25" customHeight="1">
      <c r="B40" s="68" t="s">
        <v>42</v>
      </c>
      <c r="D40" s="2"/>
      <c r="E40" s="2"/>
      <c r="F40" s="71" t="s">
        <v>33</v>
      </c>
      <c r="H40" s="72" t="s">
        <v>41</v>
      </c>
      <c r="I40" s="35"/>
      <c r="K40" s="35"/>
      <c r="L40" s="35"/>
      <c r="M40" s="73">
        <v>10</v>
      </c>
      <c r="N40" s="73">
        <v>4.0999999999999996</v>
      </c>
      <c r="O40" s="73"/>
      <c r="P40" s="73">
        <v>2.6</v>
      </c>
      <c r="Q40" s="73"/>
      <c r="R40" s="73">
        <v>1.2</v>
      </c>
    </row>
    <row r="41" spans="1:18">
      <c r="M41" s="73">
        <v>15</v>
      </c>
      <c r="N41" s="73">
        <v>4.7</v>
      </c>
      <c r="O41" s="73"/>
      <c r="P41" s="73">
        <v>2.9</v>
      </c>
      <c r="Q41" s="73"/>
      <c r="R41" s="73">
        <v>1.3</v>
      </c>
    </row>
    <row r="42" spans="1:18">
      <c r="M42" s="73">
        <v>20</v>
      </c>
      <c r="N42" s="73">
        <v>5.3</v>
      </c>
      <c r="O42" s="73"/>
      <c r="P42" s="73">
        <v>3.3</v>
      </c>
      <c r="Q42" s="73"/>
      <c r="R42" s="73">
        <v>1.4</v>
      </c>
    </row>
    <row r="43" spans="1:18">
      <c r="F43" s="4"/>
      <c r="M43" s="73">
        <v>25</v>
      </c>
      <c r="N43" s="73">
        <v>5.6</v>
      </c>
      <c r="O43" s="73"/>
      <c r="P43" s="73">
        <v>3.5</v>
      </c>
      <c r="Q43" s="73"/>
      <c r="R43" s="73">
        <v>1.4</v>
      </c>
    </row>
    <row r="44" spans="1:18">
      <c r="M44" s="73">
        <v>30</v>
      </c>
      <c r="N44" s="73">
        <v>5.8</v>
      </c>
      <c r="O44" s="73"/>
      <c r="P44" s="73">
        <v>3.6</v>
      </c>
      <c r="Q44" s="73"/>
      <c r="R44" s="73">
        <v>1.4</v>
      </c>
    </row>
    <row r="45" spans="1:18">
      <c r="M45" s="73">
        <v>35</v>
      </c>
      <c r="N45" s="73">
        <v>6.2</v>
      </c>
      <c r="O45" s="73"/>
      <c r="P45" s="73">
        <v>3.8</v>
      </c>
      <c r="Q45" s="73"/>
      <c r="R45" s="73">
        <v>1.5</v>
      </c>
    </row>
    <row r="46" spans="1:18">
      <c r="M46" s="73">
        <v>40</v>
      </c>
      <c r="N46" s="73">
        <v>6.4</v>
      </c>
      <c r="O46" s="73"/>
      <c r="P46" s="73">
        <v>4</v>
      </c>
      <c r="Q46" s="73"/>
      <c r="R46" s="73">
        <v>1.5</v>
      </c>
    </row>
    <row r="47" spans="1:18" ht="18" customHeight="1">
      <c r="A47" s="75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>
      <c r="A48" s="92" t="s">
        <v>50</v>
      </c>
      <c r="B48" s="92"/>
      <c r="C48" s="11">
        <v>10</v>
      </c>
      <c r="D48" s="11">
        <v>12</v>
      </c>
      <c r="E48" s="11">
        <v>14</v>
      </c>
      <c r="F48" s="11">
        <v>16</v>
      </c>
      <c r="G48" s="11">
        <v>18</v>
      </c>
      <c r="H48" s="11">
        <v>20</v>
      </c>
      <c r="I48" s="11">
        <v>22</v>
      </c>
      <c r="J48" s="11">
        <v>24</v>
      </c>
      <c r="K48" s="11">
        <v>26</v>
      </c>
      <c r="L48" s="11">
        <v>28</v>
      </c>
      <c r="M48" s="11">
        <v>30</v>
      </c>
      <c r="N48" s="11">
        <v>32</v>
      </c>
      <c r="O48" s="11">
        <v>34</v>
      </c>
      <c r="P48" s="11">
        <v>36</v>
      </c>
      <c r="Q48" s="11">
        <v>38</v>
      </c>
      <c r="R48" s="11">
        <v>40</v>
      </c>
    </row>
    <row r="49" spans="1:18">
      <c r="A49" s="92" t="s">
        <v>47</v>
      </c>
      <c r="B49" s="92"/>
      <c r="C49" s="11"/>
      <c r="D49" s="11"/>
      <c r="E49" s="11"/>
      <c r="F49" s="25"/>
      <c r="G49" s="16">
        <f>+(G48-F48)*$F$53</f>
        <v>0.82567550899970499</v>
      </c>
      <c r="H49" s="16">
        <f t="shared" ref="H49:R49" si="4">+(H48-$F$48)*$F$53</f>
        <v>1.65135101799941</v>
      </c>
      <c r="I49" s="16">
        <f t="shared" si="4"/>
        <v>2.477026526999115</v>
      </c>
      <c r="J49" s="16">
        <f t="shared" si="4"/>
        <v>3.30270203599882</v>
      </c>
      <c r="K49" s="16">
        <f t="shared" si="4"/>
        <v>4.1283775449985249</v>
      </c>
      <c r="L49" s="16">
        <f t="shared" si="4"/>
        <v>4.9540530539982299</v>
      </c>
      <c r="M49" s="16">
        <f t="shared" si="4"/>
        <v>5.7797285629979349</v>
      </c>
      <c r="N49" s="16">
        <f t="shared" si="4"/>
        <v>6.6054040719976399</v>
      </c>
      <c r="O49" s="16">
        <f t="shared" si="4"/>
        <v>7.4310795809973449</v>
      </c>
      <c r="P49" s="16">
        <f t="shared" si="4"/>
        <v>8.2567550899970499</v>
      </c>
      <c r="Q49" s="16">
        <f t="shared" si="4"/>
        <v>9.0824305989967549</v>
      </c>
      <c r="R49" s="16">
        <f t="shared" si="4"/>
        <v>9.9081061079964599</v>
      </c>
    </row>
    <row r="50" spans="1:18">
      <c r="A50" s="28" t="s">
        <v>48</v>
      </c>
      <c r="B50" s="11"/>
      <c r="C50" s="11"/>
      <c r="D50" s="11"/>
      <c r="E50" s="11"/>
      <c r="F50" s="11"/>
      <c r="G50" s="29"/>
      <c r="H50" s="16">
        <f t="shared" ref="H50:R50" si="5">+(H48-$G$48)*$H$54</f>
        <v>0.91732884493670874</v>
      </c>
      <c r="I50" s="16">
        <f t="shared" si="5"/>
        <v>1.8346576898734175</v>
      </c>
      <c r="J50" s="16">
        <f t="shared" si="5"/>
        <v>2.7519865348101265</v>
      </c>
      <c r="K50" s="16">
        <f t="shared" si="5"/>
        <v>3.669315379746835</v>
      </c>
      <c r="L50" s="16">
        <f t="shared" si="5"/>
        <v>4.5866442246835435</v>
      </c>
      <c r="M50" s="16">
        <f t="shared" si="5"/>
        <v>5.5039730696202529</v>
      </c>
      <c r="N50" s="16">
        <f t="shared" si="5"/>
        <v>6.4213019145569614</v>
      </c>
      <c r="O50" s="16">
        <f t="shared" si="5"/>
        <v>7.3386307594936699</v>
      </c>
      <c r="P50" s="16">
        <f t="shared" si="5"/>
        <v>8.2559596044303785</v>
      </c>
      <c r="Q50" s="16">
        <f t="shared" si="5"/>
        <v>9.173288449367087</v>
      </c>
      <c r="R50" s="16">
        <f t="shared" si="5"/>
        <v>10.090617294303796</v>
      </c>
    </row>
    <row r="51" spans="1:18">
      <c r="A51" s="2"/>
      <c r="F51" s="76" t="s">
        <v>61</v>
      </c>
      <c r="G51" s="76"/>
      <c r="H51" s="76" t="s">
        <v>62</v>
      </c>
    </row>
    <row r="52" spans="1:18">
      <c r="A52" s="2" t="s">
        <v>46</v>
      </c>
      <c r="F52" s="10">
        <f>+F34/$D$34</f>
        <v>7.9546988234603759</v>
      </c>
      <c r="H52" s="7">
        <f>+H34/$D$34</f>
        <v>185.42968635390079</v>
      </c>
      <c r="I52" s="24"/>
      <c r="J52" s="26"/>
      <c r="L52" s="26"/>
      <c r="M52" s="24"/>
      <c r="N52" s="27"/>
      <c r="O52" s="24"/>
      <c r="P52" s="27"/>
      <c r="Q52" s="24"/>
      <c r="R52" s="27"/>
    </row>
    <row r="53" spans="1:18">
      <c r="A53" s="2" t="s">
        <v>63</v>
      </c>
      <c r="F53" s="10">
        <f>+F16/F52</f>
        <v>0.41283775449985249</v>
      </c>
    </row>
    <row r="54" spans="1:18">
      <c r="A54" s="2" t="s">
        <v>64</v>
      </c>
      <c r="H54" s="10">
        <f>+H16/H52</f>
        <v>0.45866442246835437</v>
      </c>
    </row>
  </sheetData>
  <mergeCells count="15">
    <mergeCell ref="A49:B49"/>
    <mergeCell ref="A48:B48"/>
    <mergeCell ref="I7:J7"/>
    <mergeCell ref="M7:N7"/>
    <mergeCell ref="E3:F3"/>
    <mergeCell ref="N3:Q3"/>
    <mergeCell ref="O7:P7"/>
    <mergeCell ref="Q7:R7"/>
    <mergeCell ref="K7:L7"/>
    <mergeCell ref="E5:F5"/>
    <mergeCell ref="A7:A8"/>
    <mergeCell ref="B7:B8"/>
    <mergeCell ref="C7:D7"/>
    <mergeCell ref="E7:F7"/>
    <mergeCell ref="G7:H7"/>
  </mergeCells>
  <pageMargins left="0.35433070866141736" right="0.23622047244094491" top="0.74803149606299213" bottom="0.74803149606299213" header="0.31496062992125984" footer="0.31496062992125984"/>
  <pageSetup paperSize="9" scale="64" orientation="portrait" r:id="rId1"/>
  <headerFooter>
    <oddHeader>&amp;C&amp;"-,полужирный"&amp;18Расчет рациона для коров</oddHeader>
    <oddFooter>&amp;LРабочий файл к онлайн-курсу "Нормы и рационы кормления"
&amp;F&amp;CСоставитель: Елена Бабенко, консультант по 
программному обеспечению для животноводства&amp;R+38 067 442-77-79
+38 044 229-77-82
info@soft-agro.com
www.soft-agro.com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90" zoomScaleNormal="90" workbookViewId="0">
      <pane ySplit="8" topLeftCell="A21" activePane="bottomLeft" state="frozenSplit"/>
      <selection pane="bottomLeft" activeCell="T31" sqref="T31"/>
    </sheetView>
  </sheetViews>
  <sheetFormatPr defaultRowHeight="14.25"/>
  <cols>
    <col min="1" max="1" width="23" style="1" customWidth="1"/>
    <col min="2" max="2" width="7.140625" style="1" customWidth="1"/>
    <col min="3" max="3" width="8.140625" style="1" customWidth="1"/>
    <col min="4" max="4" width="8.28515625" style="1" customWidth="1"/>
    <col min="5" max="5" width="7.7109375" style="1" bestFit="1" customWidth="1"/>
    <col min="6" max="6" width="8.85546875" style="1" customWidth="1"/>
    <col min="7" max="7" width="9.140625" style="1" customWidth="1"/>
    <col min="8" max="8" width="8" style="1" customWidth="1"/>
    <col min="9" max="9" width="7.7109375" style="1" bestFit="1" customWidth="1"/>
    <col min="10" max="10" width="8.28515625" style="1" bestFit="1" customWidth="1"/>
    <col min="11" max="11" width="7.7109375" style="1" bestFit="1" customWidth="1"/>
    <col min="12" max="12" width="8.28515625" style="1" bestFit="1" customWidth="1"/>
    <col min="13" max="13" width="7.7109375" style="1" bestFit="1" customWidth="1"/>
    <col min="14" max="14" width="5.85546875" style="1" bestFit="1" customWidth="1"/>
    <col min="15" max="15" width="7.7109375" style="1" bestFit="1" customWidth="1"/>
    <col min="16" max="16" width="13.140625" style="1" customWidth="1"/>
    <col min="17" max="17" width="6" style="1" customWidth="1"/>
    <col min="18" max="18" width="7.140625" style="1" customWidth="1"/>
    <col min="19" max="16384" width="9.140625" style="1"/>
  </cols>
  <sheetData>
    <row r="1" spans="1:18" ht="18">
      <c r="A1" s="38" t="s">
        <v>0</v>
      </c>
      <c r="I1" s="55" t="s">
        <v>54</v>
      </c>
      <c r="J1" s="56"/>
      <c r="K1" s="56"/>
      <c r="L1" s="56"/>
      <c r="M1" s="56"/>
      <c r="N1" s="65" t="s">
        <v>60</v>
      </c>
      <c r="O1" s="57"/>
      <c r="P1" s="57"/>
      <c r="Q1" s="57"/>
      <c r="R1" s="57"/>
    </row>
    <row r="2" spans="1:18" ht="3.75" customHeight="1"/>
    <row r="3" spans="1:18" ht="14.25" customHeight="1">
      <c r="A3" s="31" t="s">
        <v>25</v>
      </c>
      <c r="B3" s="5">
        <v>480</v>
      </c>
      <c r="C3" s="3" t="s">
        <v>26</v>
      </c>
      <c r="E3" s="94" t="s">
        <v>27</v>
      </c>
      <c r="F3" s="94"/>
      <c r="G3" s="8">
        <v>4</v>
      </c>
      <c r="H3" s="3" t="s">
        <v>21</v>
      </c>
      <c r="J3" s="39" t="s">
        <v>28</v>
      </c>
      <c r="L3" s="9">
        <v>3.6</v>
      </c>
      <c r="M3" s="3" t="s">
        <v>21</v>
      </c>
      <c r="N3" s="94" t="s">
        <v>51</v>
      </c>
      <c r="O3" s="94"/>
      <c r="P3" s="94"/>
      <c r="Q3" s="94"/>
      <c r="R3" s="7">
        <f>+B3*3.5/100</f>
        <v>16.8</v>
      </c>
    </row>
    <row r="4" spans="1:18" ht="6" customHeight="1">
      <c r="C4" s="3"/>
      <c r="H4" s="3"/>
      <c r="M4" s="3"/>
    </row>
    <row r="5" spans="1:18" ht="14.25" customHeight="1">
      <c r="A5" s="31" t="s">
        <v>55</v>
      </c>
      <c r="B5" s="5">
        <v>20</v>
      </c>
      <c r="C5" s="64" t="s">
        <v>56</v>
      </c>
      <c r="E5" s="94" t="s">
        <v>57</v>
      </c>
      <c r="F5" s="94"/>
      <c r="G5" s="8">
        <v>25</v>
      </c>
      <c r="H5" s="64" t="s">
        <v>56</v>
      </c>
      <c r="J5" s="39" t="s">
        <v>58</v>
      </c>
      <c r="L5" s="63">
        <v>17</v>
      </c>
      <c r="M5" s="64" t="s">
        <v>59</v>
      </c>
      <c r="N5" s="3"/>
      <c r="O5" s="3"/>
      <c r="P5" s="3"/>
      <c r="Q5" s="3"/>
      <c r="R5" s="26"/>
    </row>
    <row r="6" spans="1:18" ht="6" customHeight="1">
      <c r="H6" s="3"/>
    </row>
    <row r="7" spans="1:18" ht="30.75" customHeight="1">
      <c r="A7" s="97" t="s">
        <v>1</v>
      </c>
      <c r="B7" s="99" t="s">
        <v>2</v>
      </c>
      <c r="C7" s="93" t="s">
        <v>3</v>
      </c>
      <c r="D7" s="93"/>
      <c r="E7" s="93" t="s">
        <v>4</v>
      </c>
      <c r="F7" s="93"/>
      <c r="G7" s="93" t="s">
        <v>52</v>
      </c>
      <c r="H7" s="93"/>
      <c r="I7" s="93" t="s">
        <v>8</v>
      </c>
      <c r="J7" s="93"/>
      <c r="K7" s="95" t="s">
        <v>7</v>
      </c>
      <c r="L7" s="96"/>
      <c r="M7" s="93" t="s">
        <v>9</v>
      </c>
      <c r="N7" s="93"/>
      <c r="O7" s="93" t="s">
        <v>10</v>
      </c>
      <c r="P7" s="93"/>
      <c r="Q7" s="93" t="s">
        <v>35</v>
      </c>
      <c r="R7" s="93"/>
    </row>
    <row r="8" spans="1:18" ht="85.5">
      <c r="A8" s="98"/>
      <c r="B8" s="100"/>
      <c r="C8" s="18" t="s">
        <v>11</v>
      </c>
      <c r="D8" s="18" t="s">
        <v>37</v>
      </c>
      <c r="E8" s="18" t="s">
        <v>5</v>
      </c>
      <c r="F8" s="18" t="s">
        <v>12</v>
      </c>
      <c r="G8" s="18" t="s">
        <v>6</v>
      </c>
      <c r="H8" s="18" t="s">
        <v>13</v>
      </c>
      <c r="I8" s="18" t="s">
        <v>6</v>
      </c>
      <c r="J8" s="18" t="s">
        <v>13</v>
      </c>
      <c r="K8" s="18" t="s">
        <v>6</v>
      </c>
      <c r="L8" s="18" t="s">
        <v>13</v>
      </c>
      <c r="M8" s="18" t="s">
        <v>6</v>
      </c>
      <c r="N8" s="18" t="s">
        <v>13</v>
      </c>
      <c r="O8" s="18" t="s">
        <v>6</v>
      </c>
      <c r="P8" s="18" t="s">
        <v>13</v>
      </c>
      <c r="Q8" s="18" t="s">
        <v>6</v>
      </c>
      <c r="R8" s="18" t="s">
        <v>13</v>
      </c>
    </row>
    <row r="9" spans="1:18" hidden="1">
      <c r="A9" s="12" t="s">
        <v>22</v>
      </c>
      <c r="B9" s="12"/>
      <c r="C9" s="12"/>
      <c r="D9" s="13">
        <f>+B9*C9/1000</f>
        <v>0</v>
      </c>
      <c r="E9" s="12"/>
      <c r="F9" s="14"/>
      <c r="G9" s="12"/>
      <c r="H9" s="15"/>
      <c r="I9" s="12"/>
      <c r="J9" s="13"/>
      <c r="K9" s="12"/>
      <c r="L9" s="15"/>
      <c r="M9" s="12"/>
      <c r="N9" s="14"/>
      <c r="O9" s="12"/>
      <c r="P9" s="14"/>
      <c r="Q9" s="12"/>
      <c r="R9" s="14"/>
    </row>
    <row r="10" spans="1:18" hidden="1">
      <c r="A10" s="12" t="s">
        <v>23</v>
      </c>
      <c r="B10" s="12"/>
      <c r="C10" s="12"/>
      <c r="D10" s="13"/>
      <c r="E10" s="12"/>
      <c r="F10" s="14"/>
      <c r="G10" s="12"/>
      <c r="H10" s="15"/>
      <c r="I10" s="12"/>
      <c r="J10" s="13"/>
      <c r="K10" s="12"/>
      <c r="L10" s="15"/>
      <c r="M10" s="12"/>
      <c r="N10" s="14"/>
      <c r="O10" s="12"/>
      <c r="P10" s="14"/>
      <c r="Q10" s="12"/>
      <c r="R10" s="14"/>
    </row>
    <row r="11" spans="1:18">
      <c r="A11" s="12" t="s">
        <v>39</v>
      </c>
      <c r="B11" s="12">
        <v>13</v>
      </c>
      <c r="C11" s="12">
        <v>860</v>
      </c>
      <c r="D11" s="13">
        <f>+B11*C11/1000</f>
        <v>11.18</v>
      </c>
      <c r="E11" s="12">
        <v>5.3</v>
      </c>
      <c r="F11" s="14">
        <f>+E11*D11</f>
        <v>59.253999999999998</v>
      </c>
      <c r="G11" s="12">
        <v>121</v>
      </c>
      <c r="H11" s="15">
        <f>+G11*D11</f>
        <v>1352.78</v>
      </c>
      <c r="I11" s="12">
        <v>-0.2</v>
      </c>
      <c r="J11" s="13">
        <f>+I11*D11</f>
        <v>-2.2360000000000002</v>
      </c>
      <c r="K11" s="12">
        <v>300</v>
      </c>
      <c r="L11" s="15">
        <f>+K11*D11</f>
        <v>3354</v>
      </c>
      <c r="M11" s="12">
        <v>5.2</v>
      </c>
      <c r="N11" s="14">
        <f>+M11*D11</f>
        <v>58.136000000000003</v>
      </c>
      <c r="O11" s="12">
        <v>1.8</v>
      </c>
      <c r="P11" s="14">
        <f>+O11*D11</f>
        <v>20.123999999999999</v>
      </c>
      <c r="Q11" s="12">
        <v>0.4</v>
      </c>
      <c r="R11" s="14">
        <f>+Q11*D11</f>
        <v>4.4720000000000004</v>
      </c>
    </row>
    <row r="12" spans="1: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30.75" customHeight="1">
      <c r="A13" s="11" t="s">
        <v>17</v>
      </c>
      <c r="B13" s="13">
        <f>SUM(B9:B12)</f>
        <v>13</v>
      </c>
      <c r="C13" s="11"/>
      <c r="D13" s="13">
        <f>SUM(D9:D12)</f>
        <v>11.18</v>
      </c>
      <c r="E13" s="11"/>
      <c r="F13" s="14">
        <f>SUM(F9:F12)</f>
        <v>59.253999999999998</v>
      </c>
      <c r="G13" s="11"/>
      <c r="H13" s="15">
        <f>SUM(H9:H12)</f>
        <v>1352.78</v>
      </c>
      <c r="I13" s="11"/>
      <c r="J13" s="13">
        <f>SUM(J9:J12)</f>
        <v>-2.2360000000000002</v>
      </c>
      <c r="K13" s="11"/>
      <c r="L13" s="15">
        <f>SUM(L9:L12)</f>
        <v>3354</v>
      </c>
      <c r="M13" s="11"/>
      <c r="N13" s="14">
        <f>SUM(N9:N12)</f>
        <v>58.136000000000003</v>
      </c>
      <c r="O13" s="11"/>
      <c r="P13" s="14">
        <f>SUM(P9:P12)</f>
        <v>20.123999999999999</v>
      </c>
      <c r="Q13" s="11"/>
      <c r="R13" s="14">
        <f>SUM(R9:R12)</f>
        <v>4.4720000000000004</v>
      </c>
    </row>
    <row r="14" spans="1:18" s="22" customFormat="1" ht="14.25" customHeight="1">
      <c r="A14" s="41" t="s">
        <v>14</v>
      </c>
      <c r="B14" s="51"/>
      <c r="C14" s="51"/>
      <c r="D14" s="51"/>
      <c r="E14" s="51"/>
      <c r="F14" s="52">
        <f>0.293*B3^0.75</f>
        <v>30.046822289783186</v>
      </c>
      <c r="G14" s="51"/>
      <c r="H14" s="53">
        <f>+(431*1.05)+(B3-650)/2.5</f>
        <v>384.55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4.25" customHeight="1">
      <c r="A15" s="2" t="s">
        <v>18</v>
      </c>
      <c r="B15" s="45"/>
      <c r="C15" s="45"/>
      <c r="D15" s="45"/>
      <c r="E15" s="45"/>
      <c r="F15" s="46">
        <f>+F13-F14</f>
        <v>29.207177710216811</v>
      </c>
      <c r="G15" s="45"/>
      <c r="H15" s="47">
        <f>+H13-H14</f>
        <v>968.23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s="22" customFormat="1" ht="14.25" customHeight="1">
      <c r="A16" s="42" t="s">
        <v>15</v>
      </c>
      <c r="B16" s="43"/>
      <c r="C16" s="43"/>
      <c r="D16" s="43"/>
      <c r="E16" s="43"/>
      <c r="F16" s="48">
        <f>1.05+(0.38*G3)+(0.21*L3)</f>
        <v>3.3260000000000005</v>
      </c>
      <c r="G16" s="43"/>
      <c r="H16" s="44">
        <f>+(81*1.05)+(10*L3-34)*2.1</f>
        <v>89.25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5" customHeight="1">
      <c r="A17" s="2" t="s">
        <v>16</v>
      </c>
      <c r="B17" s="45"/>
      <c r="C17" s="45"/>
      <c r="D17" s="45"/>
      <c r="E17" s="45"/>
      <c r="F17" s="49">
        <f>+F15/F16</f>
        <v>8.7814725526809401</v>
      </c>
      <c r="G17" s="50"/>
      <c r="H17" s="49">
        <f>+H15/H16</f>
        <v>10.848515406162464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 customHeight="1">
      <c r="A18" s="40" t="s">
        <v>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idden="1">
      <c r="A19" s="12" t="s">
        <v>29</v>
      </c>
      <c r="B19" s="12"/>
      <c r="C19" s="12"/>
      <c r="D19" s="14"/>
      <c r="E19" s="12"/>
      <c r="F19" s="14"/>
      <c r="G19" s="12"/>
      <c r="H19" s="15"/>
      <c r="I19" s="12"/>
      <c r="J19" s="15"/>
      <c r="K19" s="12"/>
      <c r="L19" s="15"/>
      <c r="M19" s="12"/>
      <c r="N19" s="14"/>
      <c r="O19" s="12"/>
      <c r="P19" s="14"/>
      <c r="Q19" s="12"/>
      <c r="R19" s="14"/>
    </row>
    <row r="20" spans="1:18">
      <c r="A20" s="12" t="s">
        <v>24</v>
      </c>
      <c r="B20" s="12">
        <v>0</v>
      </c>
      <c r="C20" s="12">
        <v>880</v>
      </c>
      <c r="D20" s="13">
        <f>+B20*C20/1000</f>
        <v>0</v>
      </c>
      <c r="E20" s="12">
        <v>6.56</v>
      </c>
      <c r="F20" s="14">
        <f>+E20*D20</f>
        <v>0</v>
      </c>
      <c r="G20" s="12">
        <v>165</v>
      </c>
      <c r="H20" s="15">
        <f>+G20*D20</f>
        <v>0</v>
      </c>
      <c r="I20" s="12">
        <v>-6</v>
      </c>
      <c r="J20" s="15">
        <f>+I20*D20</f>
        <v>0</v>
      </c>
      <c r="K20" s="12">
        <v>50</v>
      </c>
      <c r="L20" s="15">
        <f>+K20*D20</f>
        <v>0</v>
      </c>
      <c r="M20" s="12">
        <v>1.3</v>
      </c>
      <c r="N20" s="14">
        <f>+M20*D20</f>
        <v>0</v>
      </c>
      <c r="O20" s="12">
        <v>2.8</v>
      </c>
      <c r="P20" s="14">
        <f>+O20*D20</f>
        <v>0</v>
      </c>
      <c r="Q20" s="12">
        <v>1.3</v>
      </c>
      <c r="R20" s="14">
        <f>+Q20*D20</f>
        <v>0</v>
      </c>
    </row>
    <row r="21" spans="1:18" ht="29.25" customHeight="1">
      <c r="A21" s="21" t="s">
        <v>38</v>
      </c>
      <c r="B21" s="13">
        <f>SUM(B17:B20)</f>
        <v>0</v>
      </c>
      <c r="C21" s="11"/>
      <c r="D21" s="14">
        <f>SUM(D19:D20)</f>
        <v>0</v>
      </c>
      <c r="E21" s="11"/>
      <c r="F21" s="14">
        <f>SUM(F19:F20)</f>
        <v>0</v>
      </c>
      <c r="G21" s="11"/>
      <c r="H21" s="15">
        <f>SUM(H19:H20)</f>
        <v>0</v>
      </c>
      <c r="I21" s="11"/>
      <c r="J21" s="15">
        <f>SUM(J19:J20)</f>
        <v>0</v>
      </c>
      <c r="K21" s="11"/>
      <c r="L21" s="15">
        <f>SUM(L19:L20)</f>
        <v>0</v>
      </c>
      <c r="M21" s="11"/>
      <c r="N21" s="14">
        <f>SUM(N19:N20)</f>
        <v>0</v>
      </c>
      <c r="O21" s="11"/>
      <c r="P21" s="14">
        <f>SUM(P19:P20)</f>
        <v>0</v>
      </c>
      <c r="Q21" s="11"/>
      <c r="R21" s="14">
        <f>SUM(R19:R20)</f>
        <v>0</v>
      </c>
    </row>
    <row r="22" spans="1:18" ht="71.25" customHeight="1">
      <c r="A22" s="3" t="s">
        <v>45</v>
      </c>
      <c r="B22" s="58">
        <f>+B13+B21</f>
        <v>13</v>
      </c>
      <c r="C22" s="59"/>
      <c r="D22" s="60">
        <f>+D13+D21</f>
        <v>11.18</v>
      </c>
      <c r="E22" s="59"/>
      <c r="F22" s="60">
        <f>+F15+F21</f>
        <v>29.207177710216811</v>
      </c>
      <c r="G22" s="59"/>
      <c r="H22" s="58">
        <f>+H15+H21</f>
        <v>968.23</v>
      </c>
      <c r="I22" s="59"/>
      <c r="J22" s="61">
        <f>+J13+J21</f>
        <v>-2.2360000000000002</v>
      </c>
      <c r="K22" s="59"/>
      <c r="L22" s="58">
        <f>+L13+L21</f>
        <v>3354</v>
      </c>
      <c r="M22" s="59"/>
      <c r="N22" s="60">
        <f>+N13+N21</f>
        <v>58.136000000000003</v>
      </c>
      <c r="O22" s="59"/>
      <c r="P22" s="60">
        <f>+P13+P21</f>
        <v>20.123999999999999</v>
      </c>
      <c r="Q22" s="59"/>
      <c r="R22" s="60">
        <f>+R13+R21</f>
        <v>4.4720000000000004</v>
      </c>
    </row>
    <row r="23" spans="1:18" ht="15" customHeight="1">
      <c r="A23" s="2" t="s">
        <v>16</v>
      </c>
      <c r="B23" s="62"/>
      <c r="C23" s="62"/>
      <c r="D23" s="62"/>
      <c r="E23" s="45"/>
      <c r="F23" s="49">
        <f>+F22/F16</f>
        <v>8.7814725526809401</v>
      </c>
      <c r="G23" s="45"/>
      <c r="H23" s="49">
        <f>+H22/H16</f>
        <v>10.848515406162464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8" customHeight="1">
      <c r="A24" s="40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idden="1">
      <c r="A25" s="12" t="s">
        <v>29</v>
      </c>
      <c r="B25" s="12"/>
      <c r="C25" s="12"/>
      <c r="D25" s="14">
        <f t="shared" ref="D25:D31" si="0">+B25*C25/1000</f>
        <v>0</v>
      </c>
      <c r="E25" s="12"/>
      <c r="F25" s="14">
        <f>+E25*D25</f>
        <v>0</v>
      </c>
      <c r="G25" s="12"/>
      <c r="H25" s="15">
        <f>+G25*D25</f>
        <v>0</v>
      </c>
      <c r="I25" s="12"/>
      <c r="J25" s="15">
        <f>+I25*D25</f>
        <v>0</v>
      </c>
      <c r="K25" s="12"/>
      <c r="L25" s="15">
        <f>+K25*D25</f>
        <v>0</v>
      </c>
      <c r="M25" s="12"/>
      <c r="N25" s="14">
        <f t="shared" ref="N25:N30" si="1">+M25*D25</f>
        <v>0</v>
      </c>
      <c r="O25" s="12"/>
      <c r="P25" s="14">
        <f t="shared" ref="P25:P30" si="2">+O25*D25</f>
        <v>0</v>
      </c>
      <c r="Q25" s="12"/>
      <c r="R25" s="14">
        <f t="shared" ref="R25:R31" si="3">+Q25*D25</f>
        <v>0</v>
      </c>
    </row>
    <row r="26" spans="1:18">
      <c r="A26" s="12" t="s">
        <v>32</v>
      </c>
      <c r="B26" s="12">
        <v>2</v>
      </c>
      <c r="C26" s="12">
        <v>880</v>
      </c>
      <c r="D26" s="13">
        <f t="shared" si="0"/>
        <v>1.76</v>
      </c>
      <c r="E26" s="12">
        <v>5.3</v>
      </c>
      <c r="F26" s="14">
        <f>+E26*D26</f>
        <v>9.3279999999999994</v>
      </c>
      <c r="G26" s="12">
        <v>173</v>
      </c>
      <c r="H26" s="15">
        <f>+G26*D26</f>
        <v>304.48</v>
      </c>
      <c r="I26" s="12">
        <v>24.2</v>
      </c>
      <c r="J26" s="15">
        <f>+I26*D26</f>
        <v>42.591999999999999</v>
      </c>
      <c r="K26" s="12">
        <v>287</v>
      </c>
      <c r="L26" s="15">
        <f>+K26*D26</f>
        <v>505.12</v>
      </c>
      <c r="M26" s="12">
        <v>4</v>
      </c>
      <c r="N26" s="14">
        <f t="shared" si="1"/>
        <v>7.04</v>
      </c>
      <c r="O26" s="12">
        <v>10.7</v>
      </c>
      <c r="P26" s="14">
        <f t="shared" si="2"/>
        <v>18.831999999999997</v>
      </c>
      <c r="Q26" s="12">
        <v>0.5</v>
      </c>
      <c r="R26" s="14">
        <f t="shared" si="3"/>
        <v>0.88</v>
      </c>
    </row>
    <row r="27" spans="1:18">
      <c r="A27" s="12" t="s">
        <v>24</v>
      </c>
      <c r="B27" s="12">
        <v>3</v>
      </c>
      <c r="C27" s="12">
        <v>880</v>
      </c>
      <c r="D27" s="13">
        <f t="shared" si="0"/>
        <v>2.64</v>
      </c>
      <c r="E27" s="12">
        <v>8.1</v>
      </c>
      <c r="F27" s="14">
        <f>+E27*D27</f>
        <v>21.384</v>
      </c>
      <c r="G27" s="12">
        <v>164</v>
      </c>
      <c r="H27" s="15">
        <f>+G27*D27</f>
        <v>432.96000000000004</v>
      </c>
      <c r="I27" s="12">
        <v>-6.4</v>
      </c>
      <c r="J27" s="15">
        <f>+I27*D27</f>
        <v>-16.896000000000001</v>
      </c>
      <c r="K27" s="12">
        <v>57</v>
      </c>
      <c r="L27" s="15">
        <f>+K27*D27</f>
        <v>150.48000000000002</v>
      </c>
      <c r="M27" s="12">
        <v>1.3</v>
      </c>
      <c r="N27" s="14">
        <f t="shared" si="1"/>
        <v>3.4320000000000004</v>
      </c>
      <c r="O27" s="12">
        <v>2.8</v>
      </c>
      <c r="P27" s="14">
        <f t="shared" si="2"/>
        <v>7.3919999999999995</v>
      </c>
      <c r="Q27" s="12">
        <v>1.3</v>
      </c>
      <c r="R27" s="14">
        <f t="shared" si="3"/>
        <v>3.4320000000000004</v>
      </c>
    </row>
    <row r="28" spans="1:18">
      <c r="A28" s="12" t="s">
        <v>31</v>
      </c>
      <c r="B28" s="91">
        <v>3</v>
      </c>
      <c r="C28" s="12">
        <v>880</v>
      </c>
      <c r="D28" s="13">
        <f t="shared" si="0"/>
        <v>2.64</v>
      </c>
      <c r="E28" s="12">
        <v>8.4</v>
      </c>
      <c r="F28" s="14">
        <f>+E28*D28</f>
        <v>22.176000000000002</v>
      </c>
      <c r="G28" s="12">
        <v>164</v>
      </c>
      <c r="H28" s="15">
        <f>+G28*D28</f>
        <v>432.96000000000004</v>
      </c>
      <c r="I28" s="12">
        <v>-9.3000000000000007</v>
      </c>
      <c r="J28" s="15">
        <f>+I28*D28</f>
        <v>-24.552000000000003</v>
      </c>
      <c r="K28" s="12">
        <v>26</v>
      </c>
      <c r="L28" s="15">
        <f>+K28*D28</f>
        <v>68.64</v>
      </c>
      <c r="M28" s="12">
        <v>0.3</v>
      </c>
      <c r="N28" s="14">
        <f t="shared" si="1"/>
        <v>0.79200000000000004</v>
      </c>
      <c r="O28" s="12">
        <v>2.8</v>
      </c>
      <c r="P28" s="14">
        <f t="shared" si="2"/>
        <v>7.3919999999999995</v>
      </c>
      <c r="Q28" s="12">
        <v>0.3</v>
      </c>
      <c r="R28" s="14">
        <f t="shared" si="3"/>
        <v>0.79200000000000004</v>
      </c>
    </row>
    <row r="29" spans="1:18">
      <c r="A29" s="12" t="s">
        <v>66</v>
      </c>
      <c r="B29" s="12">
        <v>2</v>
      </c>
      <c r="C29" s="12">
        <v>880</v>
      </c>
      <c r="D29" s="13">
        <f t="shared" si="0"/>
        <v>1.76</v>
      </c>
      <c r="E29" s="12">
        <v>5.9</v>
      </c>
      <c r="F29" s="14">
        <f>+E29*D29</f>
        <v>10.384</v>
      </c>
      <c r="G29" s="12">
        <v>140</v>
      </c>
      <c r="H29" s="15">
        <f>+G29*D29</f>
        <v>246.4</v>
      </c>
      <c r="I29" s="12">
        <v>3.2</v>
      </c>
      <c r="J29" s="15">
        <f>+I29*D29</f>
        <v>5.6320000000000006</v>
      </c>
      <c r="K29" s="12">
        <v>134</v>
      </c>
      <c r="L29" s="15">
        <f>+K29*D29</f>
        <v>235.84</v>
      </c>
      <c r="M29" s="12">
        <v>1.8</v>
      </c>
      <c r="N29" s="14">
        <f t="shared" si="1"/>
        <v>3.1680000000000001</v>
      </c>
      <c r="O29" s="12">
        <v>5.9</v>
      </c>
      <c r="P29" s="14">
        <f t="shared" si="2"/>
        <v>10.384</v>
      </c>
      <c r="Q29" s="12">
        <v>0.59</v>
      </c>
      <c r="R29" s="14">
        <f t="shared" si="3"/>
        <v>1.0384</v>
      </c>
    </row>
    <row r="30" spans="1:18">
      <c r="A30" s="12" t="s">
        <v>34</v>
      </c>
      <c r="B30" s="17">
        <v>0.1</v>
      </c>
      <c r="C30" s="12">
        <v>997</v>
      </c>
      <c r="D30" s="16">
        <f t="shared" si="0"/>
        <v>9.9699999999999997E-2</v>
      </c>
      <c r="E30" s="12"/>
      <c r="F30" s="14"/>
      <c r="G30" s="12"/>
      <c r="H30" s="15"/>
      <c r="I30" s="12"/>
      <c r="J30" s="15"/>
      <c r="K30" s="12"/>
      <c r="L30" s="15"/>
      <c r="M30" s="12">
        <v>383</v>
      </c>
      <c r="N30" s="14">
        <f t="shared" si="1"/>
        <v>38.185099999999998</v>
      </c>
      <c r="O30" s="12">
        <v>0.4</v>
      </c>
      <c r="P30" s="90">
        <f t="shared" si="2"/>
        <v>3.9879999999999999E-2</v>
      </c>
      <c r="Q30" s="12"/>
      <c r="R30" s="90">
        <f t="shared" si="3"/>
        <v>0</v>
      </c>
    </row>
    <row r="31" spans="1:18">
      <c r="A31" s="12" t="s">
        <v>36</v>
      </c>
      <c r="B31" s="20">
        <v>0.08</v>
      </c>
      <c r="C31" s="12">
        <v>995</v>
      </c>
      <c r="D31" s="16">
        <f t="shared" si="0"/>
        <v>7.9600000000000004E-2</v>
      </c>
      <c r="E31" s="12"/>
      <c r="F31" s="14"/>
      <c r="G31" s="12"/>
      <c r="H31" s="15"/>
      <c r="I31" s="12"/>
      <c r="J31" s="15"/>
      <c r="K31" s="12"/>
      <c r="L31" s="15"/>
      <c r="M31" s="12"/>
      <c r="N31" s="14"/>
      <c r="O31" s="12"/>
      <c r="P31" s="14"/>
      <c r="Q31" s="12">
        <v>367</v>
      </c>
      <c r="R31" s="14">
        <f t="shared" si="3"/>
        <v>29.213200000000001</v>
      </c>
    </row>
    <row r="32" spans="1:18">
      <c r="A32" s="12"/>
      <c r="B32" s="12"/>
      <c r="C32" s="12"/>
      <c r="D32" s="13"/>
      <c r="E32" s="12"/>
      <c r="F32" s="14"/>
      <c r="G32" s="12"/>
      <c r="H32" s="15"/>
      <c r="I32" s="12"/>
      <c r="J32" s="15"/>
      <c r="K32" s="12"/>
      <c r="L32" s="15"/>
      <c r="M32" s="12"/>
      <c r="N32" s="14"/>
      <c r="O32" s="12"/>
      <c r="P32" s="14"/>
      <c r="Q32" s="12"/>
      <c r="R32" s="14"/>
    </row>
    <row r="33" spans="1:18">
      <c r="A33" s="12"/>
      <c r="B33" s="12"/>
      <c r="C33" s="12"/>
      <c r="D33" s="13"/>
      <c r="E33" s="12"/>
      <c r="F33" s="14"/>
      <c r="G33" s="12"/>
      <c r="H33" s="15"/>
      <c r="I33" s="12"/>
      <c r="J33" s="15"/>
      <c r="K33" s="12"/>
      <c r="L33" s="15"/>
      <c r="M33" s="12"/>
      <c r="N33" s="14"/>
      <c r="O33" s="12"/>
      <c r="P33" s="14"/>
      <c r="Q33" s="12"/>
      <c r="R33" s="14"/>
    </row>
    <row r="34" spans="1:18" ht="42.75" customHeight="1">
      <c r="A34" s="21" t="s">
        <v>43</v>
      </c>
      <c r="B34" s="16">
        <f>SUM(B25:B33)</f>
        <v>10.18</v>
      </c>
      <c r="C34" s="15">
        <f>+D34/B34*1000</f>
        <v>882.05304518664047</v>
      </c>
      <c r="D34" s="14">
        <f>SUM(D25:D33)</f>
        <v>8.9793000000000003</v>
      </c>
      <c r="E34" s="11"/>
      <c r="F34" s="14">
        <f>SUM(F25:F33)</f>
        <v>63.272000000000006</v>
      </c>
      <c r="G34" s="11"/>
      <c r="H34" s="15">
        <f>SUM(H25:H33)</f>
        <v>1416.8000000000002</v>
      </c>
      <c r="I34" s="11"/>
      <c r="J34" s="15">
        <f>SUM(J25:J33)</f>
        <v>6.7759999999999954</v>
      </c>
      <c r="K34" s="11"/>
      <c r="L34" s="15">
        <f>SUM(L25:L33)</f>
        <v>960.08</v>
      </c>
      <c r="M34" s="11"/>
      <c r="N34" s="14">
        <f>SUM(N25:N33)</f>
        <v>52.617100000000001</v>
      </c>
      <c r="O34" s="11"/>
      <c r="P34" s="14">
        <f>SUM(P25:P33)</f>
        <v>44.039879999999997</v>
      </c>
      <c r="Q34" s="11"/>
      <c r="R34" s="14">
        <f>SUM(R25:R33)</f>
        <v>35.355600000000003</v>
      </c>
    </row>
    <row r="35" spans="1:18" ht="81.75" customHeight="1">
      <c r="A35" s="23" t="s">
        <v>44</v>
      </c>
      <c r="B35" s="83">
        <f>+B34+B22</f>
        <v>23.18</v>
      </c>
      <c r="C35" s="84"/>
      <c r="D35" s="85">
        <f>+D34+D22</f>
        <v>20.159300000000002</v>
      </c>
      <c r="E35" s="86"/>
      <c r="F35" s="85">
        <f>+F34+F22</f>
        <v>92.479177710216817</v>
      </c>
      <c r="G35" s="86"/>
      <c r="H35" s="87">
        <f>+H34+H22</f>
        <v>2385.0300000000002</v>
      </c>
      <c r="I35" s="86"/>
      <c r="J35" s="88">
        <f>+J34+J22</f>
        <v>4.5399999999999956</v>
      </c>
      <c r="K35" s="86"/>
      <c r="L35" s="87">
        <f>+L34+L22</f>
        <v>4314.08</v>
      </c>
      <c r="M35" s="86"/>
      <c r="N35" s="85">
        <f>+N34+N22</f>
        <v>110.7531</v>
      </c>
      <c r="O35" s="86"/>
      <c r="P35" s="85">
        <f>+P34+P22</f>
        <v>64.163879999999992</v>
      </c>
      <c r="Q35" s="86"/>
      <c r="R35" s="85">
        <f>+R34+R22</f>
        <v>39.827600000000004</v>
      </c>
    </row>
    <row r="36" spans="1:18" ht="15" customHeight="1">
      <c r="A36" s="66" t="s">
        <v>16</v>
      </c>
      <c r="B36" s="66"/>
      <c r="C36" s="66"/>
      <c r="D36" s="66"/>
      <c r="F36" s="77">
        <f>+F35/F16</f>
        <v>27.80492414618665</v>
      </c>
      <c r="H36" s="77">
        <f>+H35/H16</f>
        <v>26.723025210084035</v>
      </c>
    </row>
    <row r="38" spans="1:18" ht="18">
      <c r="A38" s="32" t="s">
        <v>40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ht="14.25" customHeight="1">
      <c r="A39" s="67" t="s">
        <v>20</v>
      </c>
      <c r="B39" s="67"/>
      <c r="C39" s="67"/>
      <c r="D39" s="67"/>
      <c r="E39" s="67"/>
      <c r="F39" s="19">
        <f>+L35/D35/10</f>
        <v>21.39994940300506</v>
      </c>
      <c r="G39" s="37" t="s">
        <v>21</v>
      </c>
      <c r="H39" s="37"/>
      <c r="K39" s="37"/>
      <c r="N39" s="10">
        <f>+N35/D35</f>
        <v>5.4938961174247121</v>
      </c>
      <c r="P39" s="6">
        <f>+P35/D35</f>
        <v>3.1828426582272193</v>
      </c>
      <c r="R39" s="6">
        <f>+R35/D35</f>
        <v>1.9756439955752432</v>
      </c>
    </row>
    <row r="40" spans="1:18" ht="17.25" customHeight="1">
      <c r="B40" s="68" t="s">
        <v>42</v>
      </c>
      <c r="C40" s="69"/>
      <c r="D40" s="70"/>
      <c r="E40" s="70"/>
      <c r="F40" s="71" t="s">
        <v>33</v>
      </c>
      <c r="H40" s="72" t="s">
        <v>41</v>
      </c>
      <c r="I40" s="74"/>
      <c r="J40" s="69"/>
      <c r="K40" s="74"/>
      <c r="L40" s="74"/>
      <c r="M40" s="73">
        <v>10</v>
      </c>
      <c r="N40" s="73">
        <v>4.0999999999999996</v>
      </c>
      <c r="O40" s="73"/>
      <c r="P40" s="73">
        <v>2.6</v>
      </c>
      <c r="Q40" s="73"/>
      <c r="R40" s="73">
        <v>1.2</v>
      </c>
    </row>
    <row r="41" spans="1:18">
      <c r="H41" s="69"/>
      <c r="I41" s="69"/>
      <c r="J41" s="69"/>
      <c r="K41" s="69"/>
      <c r="L41" s="69"/>
      <c r="M41" s="73">
        <v>15</v>
      </c>
      <c r="N41" s="73">
        <v>4.7</v>
      </c>
      <c r="O41" s="73"/>
      <c r="P41" s="73">
        <v>2.9</v>
      </c>
      <c r="Q41" s="73"/>
      <c r="R41" s="73">
        <v>1.3</v>
      </c>
    </row>
    <row r="42" spans="1:18">
      <c r="H42" s="69"/>
      <c r="I42" s="69"/>
      <c r="J42" s="69"/>
      <c r="K42" s="69"/>
      <c r="L42" s="69"/>
      <c r="M42" s="73">
        <v>20</v>
      </c>
      <c r="N42" s="73">
        <v>5.3</v>
      </c>
      <c r="O42" s="73"/>
      <c r="P42" s="73">
        <v>3.3</v>
      </c>
      <c r="Q42" s="73"/>
      <c r="R42" s="73">
        <v>1.4</v>
      </c>
    </row>
    <row r="43" spans="1:18">
      <c r="F43" s="4"/>
      <c r="H43" s="69"/>
      <c r="I43" s="69"/>
      <c r="J43" s="69"/>
      <c r="K43" s="69"/>
      <c r="L43" s="69"/>
      <c r="M43" s="73">
        <v>25</v>
      </c>
      <c r="N43" s="73">
        <v>5.6</v>
      </c>
      <c r="O43" s="73"/>
      <c r="P43" s="73">
        <v>3.5</v>
      </c>
      <c r="Q43" s="73"/>
      <c r="R43" s="73">
        <v>1.4</v>
      </c>
    </row>
    <row r="44" spans="1:18">
      <c r="H44" s="69"/>
      <c r="I44" s="69"/>
      <c r="J44" s="69"/>
      <c r="K44" s="69"/>
      <c r="L44" s="69"/>
      <c r="M44" s="73">
        <v>30</v>
      </c>
      <c r="N44" s="73">
        <v>5.8</v>
      </c>
      <c r="O44" s="73"/>
      <c r="P44" s="73">
        <v>3.6</v>
      </c>
      <c r="Q44" s="73"/>
      <c r="R44" s="73">
        <v>1.4</v>
      </c>
    </row>
    <row r="45" spans="1:18">
      <c r="H45" s="69"/>
      <c r="I45" s="69"/>
      <c r="J45" s="69"/>
      <c r="K45" s="69"/>
      <c r="L45" s="69"/>
      <c r="M45" s="73">
        <v>35</v>
      </c>
      <c r="N45" s="73">
        <v>6.2</v>
      </c>
      <c r="O45" s="73"/>
      <c r="P45" s="73">
        <v>3.8</v>
      </c>
      <c r="Q45" s="73"/>
      <c r="R45" s="73">
        <v>1.5</v>
      </c>
    </row>
    <row r="46" spans="1:18">
      <c r="H46" s="69"/>
      <c r="I46" s="69"/>
      <c r="J46" s="69"/>
      <c r="K46" s="69"/>
      <c r="L46" s="69"/>
      <c r="M46" s="73">
        <v>40</v>
      </c>
      <c r="N46" s="73">
        <v>6.4</v>
      </c>
      <c r="O46" s="73"/>
      <c r="P46" s="73">
        <v>4</v>
      </c>
      <c r="Q46" s="73"/>
      <c r="R46" s="73">
        <v>1.5</v>
      </c>
    </row>
    <row r="47" spans="1:18" ht="18" customHeight="1">
      <c r="A47" s="75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>
      <c r="A48" s="92" t="s">
        <v>50</v>
      </c>
      <c r="B48" s="92"/>
      <c r="C48" s="11">
        <v>10</v>
      </c>
      <c r="D48" s="11">
        <v>12</v>
      </c>
      <c r="E48" s="11">
        <v>14</v>
      </c>
      <c r="F48" s="11">
        <v>16</v>
      </c>
      <c r="G48" s="11">
        <v>18</v>
      </c>
      <c r="H48" s="11">
        <v>20</v>
      </c>
      <c r="I48" s="11">
        <v>22</v>
      </c>
      <c r="J48" s="11">
        <v>24</v>
      </c>
      <c r="K48" s="11">
        <v>26</v>
      </c>
      <c r="L48" s="11">
        <v>28</v>
      </c>
      <c r="M48" s="11">
        <v>30</v>
      </c>
      <c r="N48" s="11">
        <v>32</v>
      </c>
      <c r="O48" s="11">
        <v>34</v>
      </c>
      <c r="P48" s="11">
        <v>36</v>
      </c>
      <c r="Q48" s="11">
        <v>38</v>
      </c>
      <c r="R48" s="11">
        <v>40</v>
      </c>
    </row>
    <row r="49" spans="1:18">
      <c r="A49" s="92" t="s">
        <v>47</v>
      </c>
      <c r="B49" s="92"/>
      <c r="C49" s="11"/>
      <c r="D49" s="11"/>
      <c r="E49" s="11"/>
      <c r="F49" s="25"/>
      <c r="G49" s="16">
        <f>+(G48-F48)*$F$53</f>
        <v>0.94402426981919341</v>
      </c>
      <c r="H49" s="16">
        <f t="shared" ref="H49:R49" si="4">+(H48-$F$48)*$F$53</f>
        <v>1.8880485396383868</v>
      </c>
      <c r="I49" s="16">
        <f t="shared" si="4"/>
        <v>2.8320728094575802</v>
      </c>
      <c r="J49" s="16">
        <f t="shared" si="4"/>
        <v>3.7760970792767736</v>
      </c>
      <c r="K49" s="16">
        <f t="shared" si="4"/>
        <v>4.720121349095967</v>
      </c>
      <c r="L49" s="16">
        <f t="shared" si="4"/>
        <v>5.6641456189151604</v>
      </c>
      <c r="M49" s="16">
        <f t="shared" si="4"/>
        <v>6.6081698887343538</v>
      </c>
      <c r="N49" s="16">
        <f t="shared" si="4"/>
        <v>7.5521941585535473</v>
      </c>
      <c r="O49" s="16">
        <f t="shared" si="4"/>
        <v>8.4962184283727407</v>
      </c>
      <c r="P49" s="16">
        <f t="shared" si="4"/>
        <v>9.4402426981919341</v>
      </c>
      <c r="Q49" s="16">
        <f t="shared" si="4"/>
        <v>10.384266968011127</v>
      </c>
      <c r="R49" s="16">
        <f t="shared" si="4"/>
        <v>11.328291237830321</v>
      </c>
    </row>
    <row r="50" spans="1:18">
      <c r="A50" s="28" t="s">
        <v>48</v>
      </c>
      <c r="B50" s="11"/>
      <c r="C50" s="11"/>
      <c r="D50" s="11"/>
      <c r="E50" s="11"/>
      <c r="F50" s="11"/>
      <c r="G50" s="29"/>
      <c r="H50" s="16">
        <f t="shared" ref="H50:R50" si="5">+(H48-$G$48)*$H$54</f>
        <v>1.1312853260869564</v>
      </c>
      <c r="I50" s="16">
        <f t="shared" si="5"/>
        <v>2.2625706521739128</v>
      </c>
      <c r="J50" s="16">
        <f t="shared" si="5"/>
        <v>3.393855978260869</v>
      </c>
      <c r="K50" s="16">
        <f t="shared" si="5"/>
        <v>4.5251413043478257</v>
      </c>
      <c r="L50" s="16">
        <f t="shared" si="5"/>
        <v>5.6564266304347823</v>
      </c>
      <c r="M50" s="16">
        <f t="shared" si="5"/>
        <v>6.7877119565217381</v>
      </c>
      <c r="N50" s="16">
        <f t="shared" si="5"/>
        <v>7.9189972826086947</v>
      </c>
      <c r="O50" s="16">
        <f t="shared" si="5"/>
        <v>9.0502826086956514</v>
      </c>
      <c r="P50" s="16">
        <f t="shared" si="5"/>
        <v>10.181567934782608</v>
      </c>
      <c r="Q50" s="16">
        <f t="shared" si="5"/>
        <v>11.312853260869565</v>
      </c>
      <c r="R50" s="16">
        <f t="shared" si="5"/>
        <v>12.444138586956521</v>
      </c>
    </row>
    <row r="51" spans="1:18">
      <c r="A51" s="2"/>
      <c r="F51" s="76" t="s">
        <v>61</v>
      </c>
      <c r="G51" s="76"/>
      <c r="H51" s="76" t="s">
        <v>62</v>
      </c>
    </row>
    <row r="52" spans="1:18">
      <c r="A52" s="2" t="s">
        <v>46</v>
      </c>
      <c r="F52" s="10">
        <f>+F34/$D$34</f>
        <v>7.0464290089427912</v>
      </c>
      <c r="H52" s="7">
        <f>+H34/$D$34</f>
        <v>157.78512801666056</v>
      </c>
      <c r="I52" s="24"/>
      <c r="J52" s="26"/>
      <c r="L52" s="26"/>
      <c r="M52" s="24"/>
      <c r="N52" s="27"/>
      <c r="O52" s="24"/>
      <c r="P52" s="27"/>
      <c r="Q52" s="24"/>
      <c r="R52" s="27"/>
    </row>
    <row r="53" spans="1:18">
      <c r="A53" s="2" t="s">
        <v>63</v>
      </c>
      <c r="F53" s="10">
        <f>+F16/F52</f>
        <v>0.4720121349095967</v>
      </c>
    </row>
    <row r="54" spans="1:18">
      <c r="A54" s="2" t="s">
        <v>64</v>
      </c>
      <c r="H54" s="10">
        <f>+H16/H52</f>
        <v>0.56564266304347821</v>
      </c>
    </row>
  </sheetData>
  <mergeCells count="15">
    <mergeCell ref="A48:B48"/>
    <mergeCell ref="A49:B49"/>
    <mergeCell ref="M7:N7"/>
    <mergeCell ref="O7:P7"/>
    <mergeCell ref="Q7:R7"/>
    <mergeCell ref="E3:F3"/>
    <mergeCell ref="N3:Q3"/>
    <mergeCell ref="E5:F5"/>
    <mergeCell ref="A7:A8"/>
    <mergeCell ref="B7:B8"/>
    <mergeCell ref="C7:D7"/>
    <mergeCell ref="E7:F7"/>
    <mergeCell ref="G7:H7"/>
    <mergeCell ref="I7:J7"/>
    <mergeCell ref="K7:L7"/>
  </mergeCells>
  <pageMargins left="0.35" right="0.24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2:AA82"/>
  <sheetViews>
    <sheetView workbookViewId="0">
      <selection sqref="A1:Z42"/>
    </sheetView>
  </sheetViews>
  <sheetFormatPr defaultRowHeight="15"/>
  <sheetData>
    <row r="12" ht="26.25" customHeight="1"/>
    <row r="16" ht="15" customHeight="1"/>
    <row r="57" ht="15" customHeight="1"/>
    <row r="58" ht="15" customHeight="1"/>
    <row r="76" spans="8:27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8:27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8:27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8:27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8:27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8:27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8:27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ОК+БК+ПК</vt:lpstr>
      <vt:lpstr>бланк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2012-04-23T12:02:00Z</cp:lastPrinted>
  <dcterms:created xsi:type="dcterms:W3CDTF">2011-12-28T10:07:02Z</dcterms:created>
  <dcterms:modified xsi:type="dcterms:W3CDTF">2018-02-26T05:57:04Z</dcterms:modified>
</cp:coreProperties>
</file>