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24240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9" i="1"/>
  <c r="O8"/>
  <c r="C9"/>
  <c r="C8"/>
  <c r="M9"/>
  <c r="M8"/>
  <c r="K9"/>
  <c r="K8"/>
  <c r="J9"/>
  <c r="J8"/>
  <c r="F8" l="1"/>
  <c r="F42"/>
  <c r="S37"/>
  <c r="Q20"/>
  <c r="P20"/>
  <c r="O20"/>
  <c r="N20"/>
  <c r="M20"/>
  <c r="O14"/>
  <c r="M14"/>
  <c r="M24"/>
  <c r="I37"/>
  <c r="I28"/>
  <c r="K28"/>
  <c r="N8"/>
  <c r="M21"/>
  <c r="O21"/>
  <c r="I21"/>
  <c r="S21" s="1"/>
  <c r="I9"/>
  <c r="S9" s="1"/>
  <c r="N9"/>
  <c r="F12"/>
  <c r="I12"/>
  <c r="S8"/>
  <c r="I20"/>
  <c r="I8"/>
  <c r="M16"/>
  <c r="P9" l="1"/>
  <c r="P8"/>
  <c r="F21"/>
  <c r="Q9"/>
  <c r="N21" l="1"/>
  <c r="J21"/>
  <c r="K21" s="1"/>
  <c r="P21" l="1"/>
  <c r="Q21" s="1"/>
  <c r="G52" l="1"/>
  <c r="F56"/>
  <c r="H55"/>
  <c r="H57" s="1"/>
  <c r="F55"/>
  <c r="R53"/>
  <c r="Q53"/>
  <c r="P53"/>
  <c r="O53"/>
  <c r="N53"/>
  <c r="M53"/>
  <c r="L53"/>
  <c r="K53"/>
  <c r="J53"/>
  <c r="I53"/>
  <c r="H53"/>
  <c r="R52"/>
  <c r="Q52"/>
  <c r="P52"/>
  <c r="O52"/>
  <c r="N52"/>
  <c r="M52"/>
  <c r="L52"/>
  <c r="K52"/>
  <c r="J52"/>
  <c r="I52"/>
  <c r="H52"/>
  <c r="I36"/>
  <c r="B36"/>
  <c r="I24"/>
  <c r="W28"/>
  <c r="W36" s="1"/>
  <c r="B24"/>
  <c r="F10"/>
  <c r="F9"/>
  <c r="F11"/>
  <c r="Y20"/>
  <c r="Y24" s="1"/>
  <c r="W20"/>
  <c r="W24" s="1"/>
  <c r="O16"/>
  <c r="K16"/>
  <c r="K14"/>
  <c r="B13"/>
  <c r="W8"/>
  <c r="W13" s="1"/>
  <c r="O13"/>
  <c r="Q2"/>
  <c r="B25" l="1"/>
  <c r="B37" s="1"/>
  <c r="W25"/>
  <c r="W37" s="1"/>
  <c r="Y8"/>
  <c r="Y13" s="1"/>
  <c r="Y25" s="1"/>
  <c r="Y37" s="1"/>
  <c r="Q8"/>
  <c r="Q13" s="1"/>
  <c r="S13"/>
  <c r="U8"/>
  <c r="U13" s="1"/>
  <c r="I13"/>
  <c r="I25" s="1"/>
  <c r="O15"/>
  <c r="S28"/>
  <c r="S36" s="1"/>
  <c r="U28"/>
  <c r="U36" s="1"/>
  <c r="M28"/>
  <c r="Y28"/>
  <c r="Y36" s="1"/>
  <c r="S20"/>
  <c r="U20"/>
  <c r="U24" s="1"/>
  <c r="F28" l="1"/>
  <c r="M36"/>
  <c r="U25"/>
  <c r="U37" s="1"/>
  <c r="N42" s="1"/>
  <c r="S24"/>
  <c r="S25" s="1"/>
  <c r="F20"/>
  <c r="R42"/>
  <c r="P42"/>
  <c r="K13"/>
  <c r="K15" s="1"/>
  <c r="K17" s="1"/>
  <c r="M13"/>
  <c r="M15" s="1"/>
  <c r="M25" s="1"/>
  <c r="M26" s="1"/>
  <c r="O17"/>
  <c r="J28"/>
  <c r="K36" s="1"/>
  <c r="N28"/>
  <c r="J20" l="1"/>
  <c r="K20" s="1"/>
  <c r="K24" s="1"/>
  <c r="K25" s="1"/>
  <c r="K37" s="1"/>
  <c r="M17"/>
  <c r="P28"/>
  <c r="Q28" s="1"/>
  <c r="Q36" s="1"/>
  <c r="O28"/>
  <c r="O36" s="1"/>
  <c r="Q24"/>
  <c r="Q25" s="1"/>
  <c r="Q37" s="1"/>
  <c r="O24"/>
  <c r="O25" s="1"/>
  <c r="O26" s="1"/>
  <c r="O37" l="1"/>
  <c r="O38" s="1"/>
  <c r="M37"/>
  <c r="M38" s="1"/>
  <c r="K38"/>
  <c r="K26"/>
</calcChain>
</file>

<file path=xl/sharedStrings.xml><?xml version="1.0" encoding="utf-8"?>
<sst xmlns="http://schemas.openxmlformats.org/spreadsheetml/2006/main" count="89" uniqueCount="71">
  <si>
    <t>Дневной рацион коровы</t>
  </si>
  <si>
    <t>Живая масса  кг</t>
  </si>
  <si>
    <t>Жирность молока</t>
  </si>
  <si>
    <t>%</t>
  </si>
  <si>
    <t>Белок молока</t>
  </si>
  <si>
    <t>Фактический надой кг/день</t>
  </si>
  <si>
    <t>желаемый надой</t>
  </si>
  <si>
    <t>Макс.СВ, кг (3,5% ЖМ)</t>
  </si>
  <si>
    <t>Основной корм</t>
  </si>
  <si>
    <t>Масса корма, кг</t>
  </si>
  <si>
    <t>Сухое вещество</t>
  </si>
  <si>
    <t>Энергия, ЧЕЛ</t>
  </si>
  <si>
    <t>Усвоенный протеин (УП)</t>
  </si>
  <si>
    <t>Баланс азота в рубце</t>
  </si>
  <si>
    <t>Сырая клетчатка</t>
  </si>
  <si>
    <t>Кальций</t>
  </si>
  <si>
    <t>Фосфор</t>
  </si>
  <si>
    <t>Натрий</t>
  </si>
  <si>
    <t>Содержание, г/кг нат.влажности</t>
  </si>
  <si>
    <t>Кол-во кг</t>
  </si>
  <si>
    <t>Кол-во, МДж</t>
  </si>
  <si>
    <t>Содержание, г/кг СВ</t>
  </si>
  <si>
    <t>Кол-во, г</t>
  </si>
  <si>
    <t>поедание корма кг.СВ в день</t>
  </si>
  <si>
    <t>Сырой протеин</t>
  </si>
  <si>
    <t>Энергия, ОЭ</t>
  </si>
  <si>
    <t>Сырой жир</t>
  </si>
  <si>
    <t xml:space="preserve">Валовая энергия </t>
  </si>
  <si>
    <t>ВЭБ</t>
  </si>
  <si>
    <t>Сенаж</t>
  </si>
  <si>
    <t>Силос</t>
  </si>
  <si>
    <t>Солома</t>
  </si>
  <si>
    <t>НРП</t>
  </si>
  <si>
    <t>Сумма из основного корма</t>
  </si>
  <si>
    <t>сахар</t>
  </si>
  <si>
    <t>крахмал</t>
  </si>
  <si>
    <t>Потребность на  жизнь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</si>
  <si>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без потребности на жизнь</t>
    </r>
  </si>
  <si>
    <t>Потребность на 1 кг молока</t>
  </si>
  <si>
    <t>досточно для … кг молока</t>
  </si>
  <si>
    <t>Балансирующий корм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</si>
  <si>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баланс.концкормов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</si>
  <si>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</si>
  <si>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t>Продуктивный комбикорм</t>
  </si>
  <si>
    <t>Отруби</t>
  </si>
  <si>
    <t>Подсолнечный шрот</t>
  </si>
  <si>
    <t>Ячмень</t>
  </si>
  <si>
    <t>Пшеница</t>
  </si>
  <si>
    <t>Кукуруза</t>
  </si>
  <si>
    <t>Мел</t>
  </si>
  <si>
    <t>Соль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</si>
  <si>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продуктивного комбикорма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</si>
  <si>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</si>
  <si>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t>Контроль содержания сырой клетчатки и минерального баланса</t>
  </si>
  <si>
    <t>Содержание сырой клетчатки в сухом веществе:</t>
  </si>
  <si>
    <t>Норма, % или г на 1 кг СВ, мин</t>
  </si>
  <si>
    <t>мин. 17%</t>
  </si>
  <si>
    <t xml:space="preserve">Потребность Ca, P, Na в г/кг СВ на…кг молока </t>
  </si>
  <si>
    <t>Распределение продуктивного комбикорма на разную продуктивность</t>
  </si>
  <si>
    <t>Для количества молока в кг</t>
  </si>
  <si>
    <t>Продуктивного комбикорма в кг по ЧЕЛ</t>
  </si>
  <si>
    <t>Продуктивного комбикорма в кг по иСП</t>
  </si>
  <si>
    <t>ЧЭЛ</t>
  </si>
  <si>
    <t>УП</t>
  </si>
  <si>
    <t>Содержится в 1 кг СВ продуктивного комбикорма</t>
  </si>
  <si>
    <t>на 1 кг молока по энергии нужно …..кг комбикорма</t>
  </si>
  <si>
    <t>на 1 кг молока по иСП нужно …кг комбикорма</t>
  </si>
  <si>
    <t>Сено суданки</t>
  </si>
  <si>
    <t>Жмых подсолнечный</t>
  </si>
  <si>
    <t>Содержание, МДж/кг НВ</t>
  </si>
  <si>
    <t>Содержание, г/кг  НВ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</si>
</sst>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3">
    <xf numFmtId="0" fontId="0" fillId="0" borderId="0" xfId="0"/>
    <xf numFmtId="0" fontId="1" fillId="2" borderId="0" xfId="1"/>
    <xf numFmtId="0" fontId="2" fillId="3" borderId="1" xfId="2" applyBorder="1"/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2" fontId="0" fillId="0" borderId="0" xfId="0" applyNumberFormat="1"/>
    <xf numFmtId="0" fontId="5" fillId="0" borderId="8" xfId="0" applyFont="1" applyBorder="1" applyAlignment="1"/>
    <xf numFmtId="0" fontId="6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 applyAlignment="1"/>
    <xf numFmtId="0" fontId="5" fillId="0" borderId="4" xfId="0" applyFont="1" applyBorder="1" applyAlignment="1"/>
    <xf numFmtId="0" fontId="5" fillId="0" borderId="10" xfId="0" applyFont="1" applyBorder="1" applyAlignment="1"/>
    <xf numFmtId="0" fontId="5" fillId="0" borderId="5" xfId="0" applyFont="1" applyBorder="1" applyAlignment="1"/>
    <xf numFmtId="0" fontId="3" fillId="0" borderId="7" xfId="0" applyFont="1" applyBorder="1" applyAlignment="1">
      <alignment vertical="center"/>
    </xf>
    <xf numFmtId="2" fontId="3" fillId="4" borderId="0" xfId="0" applyNumberFormat="1" applyFont="1" applyFill="1" applyAlignment="1">
      <alignment vertical="center" wrapText="1"/>
    </xf>
    <xf numFmtId="0" fontId="3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2" fontId="6" fillId="4" borderId="0" xfId="0" applyNumberFormat="1" applyFont="1" applyFill="1" applyAlignment="1">
      <alignment wrapText="1"/>
    </xf>
    <xf numFmtId="164" fontId="6" fillId="4" borderId="0" xfId="0" applyNumberFormat="1" applyFont="1" applyFill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0" borderId="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6" fillId="4" borderId="3" xfId="0" applyNumberFormat="1" applyFont="1" applyFill="1" applyBorder="1" applyAlignment="1">
      <alignment wrapText="1"/>
    </xf>
    <xf numFmtId="0" fontId="6" fillId="0" borderId="3" xfId="0" applyFont="1" applyBorder="1" applyAlignment="1"/>
    <xf numFmtId="0" fontId="6" fillId="0" borderId="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" fontId="6" fillId="4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2" fontId="1" fillId="2" borderId="0" xfId="1" applyNumberFormat="1"/>
    <xf numFmtId="2" fontId="2" fillId="3" borderId="0" xfId="2" applyNumberFormat="1"/>
    <xf numFmtId="2" fontId="5" fillId="0" borderId="9" xfId="0" applyNumberFormat="1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Normal="100" workbookViewId="0">
      <selection activeCell="O10" sqref="O10"/>
    </sheetView>
  </sheetViews>
  <sheetFormatPr defaultRowHeight="15"/>
  <cols>
    <col min="1" max="1" width="26.7109375" bestFit="1" customWidth="1"/>
    <col min="6" max="6" width="30.140625" customWidth="1"/>
    <col min="10" max="10" width="17.5703125" customWidth="1"/>
    <col min="18" max="18" width="11.85546875" bestFit="1" customWidth="1"/>
  </cols>
  <sheetData>
    <row r="1" spans="1:27" ht="27.75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7" ht="16.5" thickTop="1" thickBot="1">
      <c r="A2" t="s">
        <v>1</v>
      </c>
      <c r="B2" s="1">
        <v>550</v>
      </c>
      <c r="D2" s="52" t="s">
        <v>2</v>
      </c>
      <c r="E2" s="52"/>
      <c r="F2" s="1">
        <v>3.8</v>
      </c>
      <c r="G2" t="s">
        <v>3</v>
      </c>
      <c r="H2" s="52" t="s">
        <v>4</v>
      </c>
      <c r="I2" s="52"/>
      <c r="J2" s="52"/>
      <c r="K2" s="52"/>
      <c r="L2" s="1">
        <v>3.5</v>
      </c>
      <c r="M2" t="s">
        <v>3</v>
      </c>
      <c r="N2" s="52" t="s">
        <v>7</v>
      </c>
      <c r="O2" s="52"/>
      <c r="P2" s="52"/>
      <c r="Q2" s="2">
        <f>B2*3.5/100</f>
        <v>19.25</v>
      </c>
    </row>
    <row r="3" spans="1:27" ht="15.75" thickTop="1"/>
    <row r="4" spans="1:27">
      <c r="A4" t="s">
        <v>5</v>
      </c>
      <c r="B4" s="1">
        <v>18</v>
      </c>
      <c r="D4" s="52" t="s">
        <v>6</v>
      </c>
      <c r="E4" s="52"/>
      <c r="F4" s="1">
        <v>20</v>
      </c>
      <c r="H4" s="52" t="s">
        <v>23</v>
      </c>
      <c r="I4" s="52"/>
      <c r="J4" s="52"/>
      <c r="K4" s="52"/>
      <c r="L4" s="1">
        <v>19</v>
      </c>
    </row>
    <row r="6" spans="1:27" ht="45" customHeight="1">
      <c r="A6" s="49" t="s">
        <v>8</v>
      </c>
      <c r="B6" s="47" t="s">
        <v>9</v>
      </c>
      <c r="C6" s="47" t="s">
        <v>32</v>
      </c>
      <c r="D6" s="47" t="s">
        <v>25</v>
      </c>
      <c r="E6" s="47" t="s">
        <v>26</v>
      </c>
      <c r="F6" s="47" t="s">
        <v>27</v>
      </c>
      <c r="G6" s="47" t="s">
        <v>28</v>
      </c>
      <c r="H6" s="46" t="s">
        <v>10</v>
      </c>
      <c r="I6" s="46"/>
      <c r="J6" s="46" t="s">
        <v>11</v>
      </c>
      <c r="K6" s="46"/>
      <c r="L6" s="44" t="s">
        <v>24</v>
      </c>
      <c r="M6" s="45"/>
      <c r="N6" s="46" t="s">
        <v>12</v>
      </c>
      <c r="O6" s="46"/>
      <c r="P6" s="46" t="s">
        <v>13</v>
      </c>
      <c r="Q6" s="46"/>
      <c r="R6" s="44" t="s">
        <v>14</v>
      </c>
      <c r="S6" s="45"/>
      <c r="T6" s="46" t="s">
        <v>15</v>
      </c>
      <c r="U6" s="46"/>
      <c r="V6" s="46" t="s">
        <v>16</v>
      </c>
      <c r="W6" s="46"/>
      <c r="X6" s="46" t="s">
        <v>17</v>
      </c>
      <c r="Y6" s="46"/>
      <c r="Z6" t="s">
        <v>34</v>
      </c>
      <c r="AA6" t="s">
        <v>35</v>
      </c>
    </row>
    <row r="7" spans="1:27" ht="71.25">
      <c r="A7" s="50"/>
      <c r="B7" s="48"/>
      <c r="C7" s="48"/>
      <c r="D7" s="48"/>
      <c r="E7" s="48"/>
      <c r="F7" s="48"/>
      <c r="G7" s="48"/>
      <c r="H7" s="3" t="s">
        <v>18</v>
      </c>
      <c r="I7" s="3" t="s">
        <v>19</v>
      </c>
      <c r="J7" s="3" t="s">
        <v>69</v>
      </c>
      <c r="K7" s="3" t="s">
        <v>20</v>
      </c>
      <c r="L7" s="3" t="s">
        <v>70</v>
      </c>
      <c r="M7" s="3" t="s">
        <v>22</v>
      </c>
      <c r="N7" s="3" t="s">
        <v>21</v>
      </c>
      <c r="O7" s="3" t="s">
        <v>22</v>
      </c>
      <c r="P7" s="3" t="s">
        <v>21</v>
      </c>
      <c r="Q7" s="3" t="s">
        <v>22</v>
      </c>
      <c r="R7" s="3" t="s">
        <v>21</v>
      </c>
      <c r="S7" s="3" t="s">
        <v>22</v>
      </c>
      <c r="T7" s="3" t="s">
        <v>21</v>
      </c>
      <c r="U7" s="3" t="s">
        <v>22</v>
      </c>
      <c r="V7" s="3" t="s">
        <v>21</v>
      </c>
      <c r="W7" s="3" t="s">
        <v>22</v>
      </c>
      <c r="X7" s="3" t="s">
        <v>21</v>
      </c>
      <c r="Y7" s="3" t="s">
        <v>22</v>
      </c>
    </row>
    <row r="8" spans="1:27">
      <c r="A8" t="s">
        <v>67</v>
      </c>
      <c r="B8" s="40">
        <v>9</v>
      </c>
      <c r="C8" s="40">
        <f>23*L8/100</f>
        <v>28.75</v>
      </c>
      <c r="D8" s="40">
        <v>7.2</v>
      </c>
      <c r="E8" s="40">
        <v>29</v>
      </c>
      <c r="F8" s="41">
        <f>0.0239*L8+0.0398*E8+0.0201*R8+0.0175*G8</f>
        <v>18.4178</v>
      </c>
      <c r="G8" s="40">
        <v>516</v>
      </c>
      <c r="H8" s="40">
        <v>850</v>
      </c>
      <c r="I8" s="41">
        <f>H8*B8/1000</f>
        <v>7.65</v>
      </c>
      <c r="J8" s="41">
        <f xml:space="preserve"> D8/1.61</f>
        <v>4.4720496894409933</v>
      </c>
      <c r="K8" s="41">
        <f>J8*B8</f>
        <v>40.24844720496894</v>
      </c>
      <c r="L8" s="40">
        <v>125</v>
      </c>
      <c r="M8" s="41">
        <f>L8*B8</f>
        <v>1125</v>
      </c>
      <c r="N8" s="41">
        <f>(11.93-6.82*C8/L8)*D8+1.03*C8</f>
        <v>104.21458</v>
      </c>
      <c r="O8" s="41">
        <f>N8*B8</f>
        <v>937.93121999999994</v>
      </c>
      <c r="P8" s="41">
        <f>(L8-N8)/6.25</f>
        <v>3.3256672000000003</v>
      </c>
      <c r="Q8" s="41">
        <f>P8*I8</f>
        <v>25.441354080000004</v>
      </c>
      <c r="R8" s="40">
        <v>261</v>
      </c>
      <c r="S8" s="41">
        <f>R8*I8</f>
        <v>1996.65</v>
      </c>
      <c r="T8" s="40">
        <v>6</v>
      </c>
      <c r="U8" s="41">
        <f>T8*I8</f>
        <v>45.900000000000006</v>
      </c>
      <c r="V8" s="40">
        <v>1.6</v>
      </c>
      <c r="W8" s="41">
        <f>V8*I8</f>
        <v>12.240000000000002</v>
      </c>
      <c r="X8" s="40">
        <v>1.1000000000000001</v>
      </c>
      <c r="Y8" s="41">
        <f>X8*I8</f>
        <v>8.4150000000000009</v>
      </c>
    </row>
    <row r="9" spans="1:27">
      <c r="A9" t="s">
        <v>29</v>
      </c>
      <c r="B9" s="7">
        <v>11</v>
      </c>
      <c r="C9" s="7">
        <f>20*L9/100</f>
        <v>5.76</v>
      </c>
      <c r="D9" s="7">
        <v>2.1</v>
      </c>
      <c r="E9" s="7">
        <v>8.4</v>
      </c>
      <c r="F9" s="41">
        <f t="shared" ref="F9:F12" si="0">E9*0.0398+G9*0.0175+0.0239*M9+0.0201*S9</f>
        <v>18.141264</v>
      </c>
      <c r="G9" s="7">
        <v>106.8</v>
      </c>
      <c r="H9" s="7">
        <v>440</v>
      </c>
      <c r="I9" s="41">
        <f>H9*B9/1000</f>
        <v>4.84</v>
      </c>
      <c r="J9" s="41">
        <f>D9/1.61</f>
        <v>1.3043478260869565</v>
      </c>
      <c r="K9" s="41">
        <f>J9*B9</f>
        <v>14.347826086956522</v>
      </c>
      <c r="L9" s="7">
        <v>28.8</v>
      </c>
      <c r="M9" s="41">
        <f>L9*B9</f>
        <v>316.8</v>
      </c>
      <c r="N9" s="41">
        <f>(11.93-6.82*C9/L9)*D9+1.03*C9</f>
        <v>28.121399999999998</v>
      </c>
      <c r="O9" s="41">
        <f>N9*B9</f>
        <v>309.33539999999999</v>
      </c>
      <c r="P9" s="41">
        <f>(L9-N9)/6.25</f>
        <v>0.10857600000000048</v>
      </c>
      <c r="Q9" s="41">
        <f>P9*I9</f>
        <v>0.52550784000000228</v>
      </c>
      <c r="R9" s="7">
        <v>86</v>
      </c>
      <c r="S9" s="41">
        <f>R9*I9</f>
        <v>416.24</v>
      </c>
      <c r="T9" s="7"/>
      <c r="U9" s="7"/>
      <c r="V9" s="7"/>
      <c r="W9" s="7"/>
      <c r="X9" s="7"/>
      <c r="Y9" s="7"/>
    </row>
    <row r="10" spans="1:27">
      <c r="A10" t="s">
        <v>30</v>
      </c>
      <c r="B10" s="7"/>
      <c r="C10" s="7"/>
      <c r="D10" s="7"/>
      <c r="E10" s="7"/>
      <c r="F10" s="41">
        <f>E10*0.0398+G10*0.0175+0.0239*M10+0.0201*S10</f>
        <v>0</v>
      </c>
      <c r="G10" s="7"/>
      <c r="H10" s="7"/>
      <c r="I10" s="41"/>
      <c r="J10" s="41"/>
      <c r="K10" s="4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7">
      <c r="A11" t="s">
        <v>31</v>
      </c>
      <c r="B11" s="7"/>
      <c r="C11" s="7"/>
      <c r="D11" s="7"/>
      <c r="E11" s="7"/>
      <c r="F11" s="41">
        <f t="shared" si="0"/>
        <v>0</v>
      </c>
      <c r="G11" s="7"/>
      <c r="H11" s="7"/>
      <c r="I11" s="41"/>
      <c r="J11" s="41"/>
      <c r="K11" s="4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7">
      <c r="B12" s="7"/>
      <c r="C12" s="7"/>
      <c r="D12" s="7"/>
      <c r="E12" s="7"/>
      <c r="F12" s="41">
        <f t="shared" si="0"/>
        <v>0</v>
      </c>
      <c r="G12" s="7"/>
      <c r="H12" s="7"/>
      <c r="I12" s="41">
        <f t="shared" ref="I12" si="1">H12*B12/1000</f>
        <v>0</v>
      </c>
      <c r="J12" s="41"/>
      <c r="K12" s="4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7">
      <c r="A13" t="s">
        <v>33</v>
      </c>
      <c r="B13" s="41">
        <f>SUM(B8:B12)</f>
        <v>20</v>
      </c>
      <c r="C13" s="7"/>
      <c r="D13" s="7"/>
      <c r="E13" s="7"/>
      <c r="F13" s="7"/>
      <c r="G13" s="7"/>
      <c r="H13" s="7"/>
      <c r="I13" s="41">
        <f>SUM(I8:I12)</f>
        <v>12.49</v>
      </c>
      <c r="J13" s="7"/>
      <c r="K13" s="41">
        <f>SUM(K8:K12)</f>
        <v>54.596273291925463</v>
      </c>
      <c r="L13" s="7"/>
      <c r="M13" s="41">
        <f>SUM(M8:M12)</f>
        <v>1441.8</v>
      </c>
      <c r="N13" s="7"/>
      <c r="O13" s="41">
        <f t="shared" ref="O13:Y13" si="2">SUM(O8:O12)</f>
        <v>1247.2666199999999</v>
      </c>
      <c r="P13" s="7"/>
      <c r="Q13" s="41">
        <f t="shared" si="2"/>
        <v>25.966861920000007</v>
      </c>
      <c r="R13" s="7"/>
      <c r="S13" s="41">
        <f t="shared" si="2"/>
        <v>2412.8900000000003</v>
      </c>
      <c r="T13" s="7"/>
      <c r="U13" s="41">
        <f t="shared" si="2"/>
        <v>45.900000000000006</v>
      </c>
      <c r="V13" s="7"/>
      <c r="W13" s="41">
        <f t="shared" si="2"/>
        <v>12.240000000000002</v>
      </c>
      <c r="X13" s="7"/>
      <c r="Y13" s="41">
        <f t="shared" si="2"/>
        <v>8.4150000000000009</v>
      </c>
    </row>
    <row r="14" spans="1:27">
      <c r="A14" s="4" t="s">
        <v>36</v>
      </c>
      <c r="B14" s="7"/>
      <c r="C14" s="7"/>
      <c r="D14" s="7"/>
      <c r="E14" s="7"/>
      <c r="F14" s="7"/>
      <c r="G14" s="7"/>
      <c r="H14" s="7"/>
      <c r="I14" s="7"/>
      <c r="J14" s="7"/>
      <c r="K14" s="7">
        <f>0.293*B2^0.75</f>
        <v>33.276652957501206</v>
      </c>
      <c r="L14" s="7"/>
      <c r="M14" s="7">
        <f>+(0.01*(4+0.0968*B2^0.7*1000)+2.75*B2^0.5+0.2*B2^0.6)/0.34</f>
        <v>451.58940232731999</v>
      </c>
      <c r="N14" s="7"/>
      <c r="O14" s="7">
        <f>+(431*1.05)+(B2-650)/2.5</f>
        <v>412.55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7">
      <c r="A15" s="5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>
        <f>K13-K14</f>
        <v>21.319620334424258</v>
      </c>
      <c r="L15" s="7"/>
      <c r="M15" s="7">
        <f>M13-M14</f>
        <v>990.21059767268002</v>
      </c>
      <c r="N15" s="7"/>
      <c r="O15" s="7">
        <f>O13-O14</f>
        <v>834.71661999999992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7">
      <c r="A16" s="6" t="s">
        <v>38</v>
      </c>
      <c r="B16" s="7"/>
      <c r="C16" s="7"/>
      <c r="D16" s="7"/>
      <c r="E16" s="7"/>
      <c r="F16" s="7"/>
      <c r="G16" s="7"/>
      <c r="H16" s="7"/>
      <c r="I16" s="7"/>
      <c r="J16" s="7"/>
      <c r="K16" s="7">
        <f>1.05+(0.38*F2)+(0.21*L2)</f>
        <v>3.2289999999999996</v>
      </c>
      <c r="L16" s="7"/>
      <c r="M16" s="7">
        <f>+(10*L2*0.95)/0.34</f>
        <v>97.794117647058812</v>
      </c>
      <c r="N16" s="7"/>
      <c r="O16" s="7">
        <f>+(81*1.05)+(10*L2-34)*2.1</f>
        <v>87.149999999999991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5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7">
        <f>K15/K16</f>
        <v>6.6025457833460077</v>
      </c>
      <c r="L17" s="7"/>
      <c r="M17" s="7">
        <f>M15/M16</f>
        <v>10.125461750637932</v>
      </c>
      <c r="N17" s="7"/>
      <c r="O17" s="7">
        <f>O15/O16</f>
        <v>9.5779302352266207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8">
      <c r="A19" s="8" t="s">
        <v>40</v>
      </c>
      <c r="B19" s="4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>
      <c r="A20" t="s">
        <v>68</v>
      </c>
      <c r="B20" s="40">
        <v>2</v>
      </c>
      <c r="C20" s="40">
        <v>56</v>
      </c>
      <c r="D20" s="40">
        <v>12.2</v>
      </c>
      <c r="E20" s="40">
        <v>82</v>
      </c>
      <c r="F20" s="41">
        <f>E20*0.0398+G20*0.0175+0.0239*M20+0.0201*S20</f>
        <v>25.045440000000003</v>
      </c>
      <c r="G20" s="40">
        <v>361</v>
      </c>
      <c r="H20" s="40">
        <v>900</v>
      </c>
      <c r="I20" s="41">
        <f>H20*B20/1000</f>
        <v>1.8</v>
      </c>
      <c r="J20" s="41">
        <f>0.6*(1+0.004*(D20/F20*100-57))*D20</f>
        <v>7.0773116087239822</v>
      </c>
      <c r="K20" s="41">
        <f>J20*I20</f>
        <v>12.739160895703169</v>
      </c>
      <c r="L20" s="40">
        <v>235</v>
      </c>
      <c r="M20" s="41">
        <f>L20*I20</f>
        <v>423</v>
      </c>
      <c r="N20" s="41">
        <f>(11.93-6.82*C20/L20)*D20+1.03*C20</f>
        <v>183.39866382978721</v>
      </c>
      <c r="O20" s="41">
        <f>N20*I20</f>
        <v>330.11759489361697</v>
      </c>
      <c r="P20" s="41">
        <f>(L20-N20)/6.25</f>
        <v>8.2562137872340458</v>
      </c>
      <c r="Q20" s="41">
        <f>P20*I20</f>
        <v>14.861184817021282</v>
      </c>
      <c r="R20" s="40">
        <v>148</v>
      </c>
      <c r="S20" s="41">
        <f>R20*I20</f>
        <v>266.40000000000003</v>
      </c>
      <c r="T20" s="40"/>
      <c r="U20" s="41">
        <f>T20*I20</f>
        <v>0</v>
      </c>
      <c r="V20" s="40"/>
      <c r="W20" s="41">
        <f>V20*I20</f>
        <v>0</v>
      </c>
      <c r="X20" s="40"/>
      <c r="Y20" s="41">
        <f>X20*I20</f>
        <v>0</v>
      </c>
    </row>
    <row r="21" spans="1:25">
      <c r="A21" t="s">
        <v>48</v>
      </c>
      <c r="B21" s="7">
        <v>2</v>
      </c>
      <c r="C21" s="7">
        <v>33</v>
      </c>
      <c r="D21" s="7">
        <v>13.1</v>
      </c>
      <c r="E21" s="7">
        <v>24</v>
      </c>
      <c r="F21" s="41">
        <f>E21*0.0398+G21*0.0175+0.0239*M21+0.0201*S21</f>
        <v>20.997072000000003</v>
      </c>
      <c r="G21" s="7">
        <v>832</v>
      </c>
      <c r="H21" s="7">
        <v>880</v>
      </c>
      <c r="I21" s="41">
        <f>H21*B21/1000</f>
        <v>1.76</v>
      </c>
      <c r="J21" s="41">
        <f>0.6*(1+0.004*(D21/F21*100-57))*D21</f>
        <v>8.0294506362715712</v>
      </c>
      <c r="K21" s="41">
        <f>J21*I21</f>
        <v>14.131833119837966</v>
      </c>
      <c r="L21" s="7">
        <v>95</v>
      </c>
      <c r="M21" s="41">
        <f>L21*I21</f>
        <v>167.2</v>
      </c>
      <c r="N21" s="41">
        <f>0.6*(1+0.004*(D21/F21*100-57))*D21</f>
        <v>8.0294506362715712</v>
      </c>
      <c r="O21" s="41">
        <f>N21*I21</f>
        <v>14.131833119837966</v>
      </c>
      <c r="P21" s="41">
        <f>(L21-N21)/6.25</f>
        <v>13.915287898196548</v>
      </c>
      <c r="Q21" s="41">
        <f>P21*I21</f>
        <v>24.490906700825924</v>
      </c>
      <c r="R21" s="7">
        <v>42</v>
      </c>
      <c r="S21" s="41">
        <f>R21*I21</f>
        <v>73.92</v>
      </c>
      <c r="T21" s="7"/>
      <c r="U21" s="7"/>
      <c r="V21" s="7"/>
      <c r="W21" s="7"/>
      <c r="X21" s="7"/>
      <c r="Y21" s="7"/>
    </row>
    <row r="22" spans="1:25">
      <c r="A22" t="s">
        <v>47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30">
      <c r="A24" s="9" t="s">
        <v>41</v>
      </c>
      <c r="B24" s="7">
        <f>SUM(B20:B23)</f>
        <v>4</v>
      </c>
      <c r="C24" s="7"/>
      <c r="D24" s="7"/>
      <c r="E24" s="7"/>
      <c r="F24" s="7"/>
      <c r="G24" s="7"/>
      <c r="H24" s="7"/>
      <c r="I24" s="7">
        <f>SUM(I20:I23)</f>
        <v>3.56</v>
      </c>
      <c r="J24" s="7"/>
      <c r="K24" s="7">
        <f>SUM(K20:K23)</f>
        <v>26.870994015541136</v>
      </c>
      <c r="L24" s="7"/>
      <c r="M24" s="7">
        <f>SUM(M20:M23)</f>
        <v>590.20000000000005</v>
      </c>
      <c r="N24" s="7"/>
      <c r="O24" s="7">
        <f>SUM(O20:O23)</f>
        <v>344.24942801345492</v>
      </c>
      <c r="P24" s="7"/>
      <c r="Q24" s="7">
        <f t="shared" ref="Q24:Y24" si="3">SUM(Q20:Q23)</f>
        <v>39.352091517847207</v>
      </c>
      <c r="R24" s="7"/>
      <c r="S24" s="7">
        <f t="shared" si="3"/>
        <v>340.32000000000005</v>
      </c>
      <c r="T24" s="7"/>
      <c r="U24" s="7">
        <f t="shared" si="3"/>
        <v>0</v>
      </c>
      <c r="V24" s="7"/>
      <c r="W24" s="7">
        <f t="shared" si="3"/>
        <v>0</v>
      </c>
      <c r="X24" s="7"/>
      <c r="Y24" s="7">
        <f t="shared" si="3"/>
        <v>0</v>
      </c>
    </row>
    <row r="25" spans="1:25" ht="51.75">
      <c r="A25" s="10" t="s">
        <v>42</v>
      </c>
      <c r="B25" s="7">
        <f>B24+B13</f>
        <v>24</v>
      </c>
      <c r="C25" s="7"/>
      <c r="D25" s="7"/>
      <c r="E25" s="7"/>
      <c r="F25" s="7"/>
      <c r="G25" s="7"/>
      <c r="H25" s="7"/>
      <c r="I25" s="7">
        <f>I24+I13</f>
        <v>16.05</v>
      </c>
      <c r="J25" s="7"/>
      <c r="K25" s="7">
        <f>K24+K15</f>
        <v>48.190614349965394</v>
      </c>
      <c r="L25" s="7"/>
      <c r="M25" s="7">
        <f>M24+M15</f>
        <v>1580.4105976726801</v>
      </c>
      <c r="N25" s="7"/>
      <c r="O25" s="7">
        <f>O24+O15</f>
        <v>1178.9660480134548</v>
      </c>
      <c r="P25" s="7"/>
      <c r="Q25" s="7">
        <f>Q24+Q13</f>
        <v>65.318953437847213</v>
      </c>
      <c r="R25" s="7"/>
      <c r="S25" s="7">
        <f>S24+S13</f>
        <v>2753.2100000000005</v>
      </c>
      <c r="T25" s="7"/>
      <c r="U25" s="7">
        <f t="shared" ref="U25:Y25" si="4">U24+U13</f>
        <v>45.900000000000006</v>
      </c>
      <c r="V25" s="7"/>
      <c r="W25" s="7">
        <f t="shared" si="4"/>
        <v>12.240000000000002</v>
      </c>
      <c r="X25" s="7"/>
      <c r="Y25" s="7">
        <f t="shared" si="4"/>
        <v>8.4150000000000009</v>
      </c>
    </row>
    <row r="26" spans="1:25">
      <c r="A26" s="5" t="s">
        <v>39</v>
      </c>
      <c r="B26" s="7"/>
      <c r="C26" s="7"/>
      <c r="D26" s="7"/>
      <c r="E26" s="7"/>
      <c r="F26" s="7"/>
      <c r="G26" s="7"/>
      <c r="H26" s="7"/>
      <c r="I26" s="7"/>
      <c r="J26" s="7"/>
      <c r="K26" s="7">
        <f>K25/K16</f>
        <v>14.924315376266769</v>
      </c>
      <c r="L26" s="7"/>
      <c r="M26" s="7">
        <f>M25/M16</f>
        <v>16.160589570186804</v>
      </c>
      <c r="N26" s="7"/>
      <c r="O26" s="7">
        <f>O25/O16</f>
        <v>13.52800973050436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8">
      <c r="A27" s="8" t="s">
        <v>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>
      <c r="A28" t="s">
        <v>44</v>
      </c>
      <c r="B28" s="40">
        <v>0</v>
      </c>
      <c r="C28" s="40">
        <v>0</v>
      </c>
      <c r="D28" s="40">
        <v>0</v>
      </c>
      <c r="E28" s="40">
        <v>0</v>
      </c>
      <c r="F28" s="41">
        <f>E28*0.0398+G28*0.0175+0.0239*M28+0.0201*S28</f>
        <v>0</v>
      </c>
      <c r="G28" s="40">
        <v>0</v>
      </c>
      <c r="H28" s="40"/>
      <c r="I28" s="41">
        <f>H28*B28/1000</f>
        <v>0</v>
      </c>
      <c r="J28" s="41" t="e">
        <f>0.6*(1+0.004*(D28/F28*100-57))*D28</f>
        <v>#DIV/0!</v>
      </c>
      <c r="K28" s="41" t="e">
        <f>J28*I28</f>
        <v>#DIV/0!</v>
      </c>
      <c r="L28" s="40">
        <v>0</v>
      </c>
      <c r="M28" s="41">
        <f>L28*I28</f>
        <v>0</v>
      </c>
      <c r="N28" s="41" t="e">
        <f>0.6*(1+0.004*(D28/F28*100-57))*D28</f>
        <v>#DIV/0!</v>
      </c>
      <c r="O28" s="41" t="e">
        <f>N28*I28</f>
        <v>#DIV/0!</v>
      </c>
      <c r="P28" s="41" t="e">
        <f>(L28-N28)/6.25</f>
        <v>#DIV/0!</v>
      </c>
      <c r="Q28" s="41" t="e">
        <f>P28*I28</f>
        <v>#DIV/0!</v>
      </c>
      <c r="R28" s="40"/>
      <c r="S28" s="41">
        <f>R28*I28</f>
        <v>0</v>
      </c>
      <c r="T28" s="40"/>
      <c r="U28" s="41">
        <f>T28*I28</f>
        <v>0</v>
      </c>
      <c r="V28" s="40"/>
      <c r="W28" s="41">
        <f>V28*I28</f>
        <v>0</v>
      </c>
      <c r="X28" s="40"/>
      <c r="Y28" s="41">
        <f>X28*I28</f>
        <v>0</v>
      </c>
    </row>
    <row r="29" spans="1:25">
      <c r="A29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>
      <c r="A30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>
      <c r="A31" t="s">
        <v>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>
      <c r="A32" t="s">
        <v>48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t="s">
        <v>50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>
      <c r="A36" s="9" t="s">
        <v>51</v>
      </c>
      <c r="B36" s="7">
        <f>SUM(B28:B35)</f>
        <v>0</v>
      </c>
      <c r="C36" s="7"/>
      <c r="D36" s="7"/>
      <c r="E36" s="7"/>
      <c r="F36" s="7"/>
      <c r="G36" s="7"/>
      <c r="H36" s="7"/>
      <c r="I36" s="7">
        <f>SUM(I28:I35)</f>
        <v>0</v>
      </c>
      <c r="J36" s="7"/>
      <c r="K36" s="7" t="e">
        <f>SUM(K28:K35)</f>
        <v>#DIV/0!</v>
      </c>
      <c r="L36" s="7"/>
      <c r="M36" s="7">
        <f>SUM(M28:M35)</f>
        <v>0</v>
      </c>
      <c r="N36" s="7"/>
      <c r="O36" s="7" t="e">
        <f>SUM(O28:O35)</f>
        <v>#DIV/0!</v>
      </c>
      <c r="P36" s="7"/>
      <c r="Q36" s="7" t="e">
        <f>SUM(Q28:Q35)</f>
        <v>#DIV/0!</v>
      </c>
      <c r="R36" s="7"/>
      <c r="S36" s="7">
        <f>SUM(S28:S35)</f>
        <v>0</v>
      </c>
      <c r="T36" s="7"/>
      <c r="U36" s="7">
        <f>SUM(U28:U35)</f>
        <v>0</v>
      </c>
      <c r="V36" s="7"/>
      <c r="W36" s="7">
        <f>SUM(W28:W35)</f>
        <v>0</v>
      </c>
      <c r="X36" s="7"/>
      <c r="Y36" s="7">
        <f>SUM(Y28:Y35)</f>
        <v>0</v>
      </c>
    </row>
    <row r="37" spans="1:25" ht="63.75">
      <c r="A37" s="11" t="s">
        <v>52</v>
      </c>
      <c r="B37" s="7">
        <f>B36+B25</f>
        <v>24</v>
      </c>
      <c r="C37" s="7"/>
      <c r="D37" s="7"/>
      <c r="E37" s="7"/>
      <c r="F37" s="7"/>
      <c r="G37" s="7"/>
      <c r="H37" s="7"/>
      <c r="I37" s="7">
        <f>I36+I25</f>
        <v>16.05</v>
      </c>
      <c r="J37" s="7"/>
      <c r="K37" s="7" t="e">
        <f>K36+K25</f>
        <v>#DIV/0!</v>
      </c>
      <c r="L37" s="7"/>
      <c r="M37" s="7">
        <f>M36+M25</f>
        <v>1580.4105976726801</v>
      </c>
      <c r="N37" s="7"/>
      <c r="O37" s="7" t="e">
        <f>O36+O25</f>
        <v>#DIV/0!</v>
      </c>
      <c r="P37" s="7"/>
      <c r="Q37" s="7" t="e">
        <f>Q36+Q25</f>
        <v>#DIV/0!</v>
      </c>
      <c r="R37" s="7"/>
      <c r="S37" s="7">
        <f>S36+S25</f>
        <v>2753.2100000000005</v>
      </c>
      <c r="T37" s="7"/>
      <c r="U37" s="7">
        <f t="shared" ref="U37:Y37" si="5">U36+U25</f>
        <v>45.900000000000006</v>
      </c>
      <c r="V37" s="7"/>
      <c r="W37" s="7">
        <f t="shared" si="5"/>
        <v>12.240000000000002</v>
      </c>
      <c r="X37" s="7"/>
      <c r="Y37" s="7">
        <f t="shared" si="5"/>
        <v>8.4150000000000009</v>
      </c>
    </row>
    <row r="38" spans="1:25">
      <c r="A38" s="12" t="s">
        <v>39</v>
      </c>
      <c r="K38" t="e">
        <f>K37/K16</f>
        <v>#DIV/0!</v>
      </c>
      <c r="M38">
        <f>M37/M16</f>
        <v>16.160589570186804</v>
      </c>
      <c r="O38" t="e">
        <f>O37/O16</f>
        <v>#DIV/0!</v>
      </c>
    </row>
    <row r="41" spans="1:25" ht="18">
      <c r="A41" s="13" t="s">
        <v>53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5"/>
    </row>
    <row r="42" spans="1:25">
      <c r="A42" s="16" t="s">
        <v>54</v>
      </c>
      <c r="B42" s="16"/>
      <c r="C42" s="16"/>
      <c r="D42" s="16"/>
      <c r="E42" s="16"/>
      <c r="F42" s="17">
        <f>+S37/I37/10</f>
        <v>17.153956386292837</v>
      </c>
      <c r="G42" s="18" t="s">
        <v>3</v>
      </c>
      <c r="H42" s="18"/>
      <c r="I42" s="19"/>
      <c r="J42" s="19"/>
      <c r="K42" s="18"/>
      <c r="L42" s="19"/>
      <c r="M42" s="19"/>
      <c r="N42" s="20">
        <f>+U37/I37</f>
        <v>2.8598130841121496</v>
      </c>
      <c r="O42" s="19"/>
      <c r="P42" s="21">
        <f>+W37/I37</f>
        <v>0.76261682242990658</v>
      </c>
      <c r="Q42" s="19"/>
      <c r="R42" s="21">
        <f>+Y37/I37</f>
        <v>0.52429906542056082</v>
      </c>
    </row>
    <row r="43" spans="1:25">
      <c r="A43" s="19"/>
      <c r="B43" s="22" t="s">
        <v>55</v>
      </c>
      <c r="C43" s="19"/>
      <c r="D43" s="5"/>
      <c r="E43" s="5"/>
      <c r="F43" s="23" t="s">
        <v>56</v>
      </c>
      <c r="G43" s="19"/>
      <c r="H43" s="24" t="s">
        <v>57</v>
      </c>
      <c r="I43" s="25"/>
      <c r="J43" s="19"/>
      <c r="K43" s="25"/>
      <c r="L43" s="25"/>
      <c r="M43" s="26">
        <v>10</v>
      </c>
      <c r="N43" s="26">
        <v>4.0999999999999996</v>
      </c>
      <c r="O43" s="26"/>
      <c r="P43" s="26">
        <v>2.6</v>
      </c>
      <c r="Q43" s="26"/>
      <c r="R43" s="26">
        <v>1.2</v>
      </c>
    </row>
    <row r="44" spans="1: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6">
        <v>15</v>
      </c>
      <c r="N44" s="26">
        <v>4.7</v>
      </c>
      <c r="O44" s="26"/>
      <c r="P44" s="26">
        <v>2.9</v>
      </c>
      <c r="Q44" s="26"/>
      <c r="R44" s="26">
        <v>1.3</v>
      </c>
    </row>
    <row r="45" spans="1: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6">
        <v>20</v>
      </c>
      <c r="N45" s="26">
        <v>5.3</v>
      </c>
      <c r="O45" s="26"/>
      <c r="P45" s="26">
        <v>3.3</v>
      </c>
      <c r="Q45" s="26"/>
      <c r="R45" s="26">
        <v>1.4</v>
      </c>
    </row>
    <row r="46" spans="1:25">
      <c r="A46" s="19"/>
      <c r="B46" s="19"/>
      <c r="C46" s="19"/>
      <c r="D46" s="19"/>
      <c r="E46" s="19"/>
      <c r="F46" s="27"/>
      <c r="G46" s="19"/>
      <c r="H46" s="19"/>
      <c r="I46" s="19"/>
      <c r="J46" s="19"/>
      <c r="K46" s="19"/>
      <c r="L46" s="19"/>
      <c r="M46" s="26">
        <v>25</v>
      </c>
      <c r="N46" s="26">
        <v>5.6</v>
      </c>
      <c r="O46" s="26"/>
      <c r="P46" s="26">
        <v>3.5</v>
      </c>
      <c r="Q46" s="26"/>
      <c r="R46" s="26">
        <v>1.4</v>
      </c>
    </row>
    <row r="47" spans="1: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6">
        <v>30</v>
      </c>
      <c r="N47" s="26">
        <v>5.8</v>
      </c>
      <c r="O47" s="26"/>
      <c r="P47" s="26">
        <v>3.6</v>
      </c>
      <c r="Q47" s="26"/>
      <c r="R47" s="26">
        <v>1.4</v>
      </c>
    </row>
    <row r="48" spans="1: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6">
        <v>35</v>
      </c>
      <c r="N48" s="26">
        <v>6.2</v>
      </c>
      <c r="O48" s="26"/>
      <c r="P48" s="26">
        <v>3.8</v>
      </c>
      <c r="Q48" s="26"/>
      <c r="R48" s="26">
        <v>1.5</v>
      </c>
    </row>
    <row r="49" spans="1:18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6">
        <v>40</v>
      </c>
      <c r="N49" s="26">
        <v>6.4</v>
      </c>
      <c r="O49" s="26"/>
      <c r="P49" s="26">
        <v>4</v>
      </c>
      <c r="Q49" s="26"/>
      <c r="R49" s="26">
        <v>1.5</v>
      </c>
    </row>
    <row r="50" spans="1:18" ht="18">
      <c r="A50" s="28" t="s">
        <v>58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>
      <c r="A51" s="43" t="s">
        <v>59</v>
      </c>
      <c r="B51" s="43"/>
      <c r="C51" s="30">
        <v>10</v>
      </c>
      <c r="D51" s="30">
        <v>12</v>
      </c>
      <c r="E51" s="30">
        <v>14</v>
      </c>
      <c r="F51" s="30">
        <v>16</v>
      </c>
      <c r="G51" s="30">
        <v>18</v>
      </c>
      <c r="H51" s="30">
        <v>20</v>
      </c>
      <c r="I51" s="30">
        <v>22</v>
      </c>
      <c r="J51" s="30">
        <v>24</v>
      </c>
      <c r="K51" s="30">
        <v>26</v>
      </c>
      <c r="L51" s="30">
        <v>28</v>
      </c>
      <c r="M51" s="30">
        <v>30</v>
      </c>
      <c r="N51" s="30">
        <v>32</v>
      </c>
      <c r="O51" s="30">
        <v>34</v>
      </c>
      <c r="P51" s="30">
        <v>36</v>
      </c>
      <c r="Q51" s="30">
        <v>38</v>
      </c>
      <c r="R51" s="30">
        <v>40</v>
      </c>
    </row>
    <row r="52" spans="1:18">
      <c r="A52" s="43" t="s">
        <v>60</v>
      </c>
      <c r="B52" s="43"/>
      <c r="C52" s="30"/>
      <c r="D52" s="30"/>
      <c r="E52" s="30"/>
      <c r="F52" s="31"/>
      <c r="G52" s="32">
        <f>+(G51-F51)*$F$53</f>
        <v>0</v>
      </c>
      <c r="H52" s="32">
        <f>+(H51-$F$48)*$F$53</f>
        <v>0</v>
      </c>
      <c r="I52" s="32">
        <f t="shared" ref="I52:R52" si="6">+(I51-$F$48)*$F$53</f>
        <v>0</v>
      </c>
      <c r="J52" s="32">
        <f t="shared" si="6"/>
        <v>0</v>
      </c>
      <c r="K52" s="32">
        <f>+(K51-$F$48)*$F$53</f>
        <v>0</v>
      </c>
      <c r="L52" s="32">
        <f>+(L51-$F$48)*$F$53</f>
        <v>0</v>
      </c>
      <c r="M52" s="32">
        <f t="shared" si="6"/>
        <v>0</v>
      </c>
      <c r="N52" s="32">
        <f t="shared" si="6"/>
        <v>0</v>
      </c>
      <c r="O52" s="32">
        <f t="shared" si="6"/>
        <v>0</v>
      </c>
      <c r="P52" s="32">
        <f t="shared" si="6"/>
        <v>0</v>
      </c>
      <c r="Q52" s="32">
        <f t="shared" si="6"/>
        <v>0</v>
      </c>
      <c r="R52" s="32">
        <f t="shared" si="6"/>
        <v>0</v>
      </c>
    </row>
    <row r="53" spans="1:18">
      <c r="A53" s="33" t="s">
        <v>61</v>
      </c>
      <c r="B53" s="30"/>
      <c r="C53" s="30"/>
      <c r="D53" s="30"/>
      <c r="E53" s="30"/>
      <c r="F53" s="30"/>
      <c r="G53" s="34"/>
      <c r="H53" s="32" t="e">
        <f>+(H51-$G$48)*$H$54</f>
        <v>#VALUE!</v>
      </c>
      <c r="I53" s="32" t="e">
        <f t="shared" ref="I53:R53" si="7">+(I51-$G$48)*$H$54</f>
        <v>#VALUE!</v>
      </c>
      <c r="J53" s="32" t="e">
        <f t="shared" si="7"/>
        <v>#VALUE!</v>
      </c>
      <c r="K53" s="32" t="e">
        <f>+(K51-$G$48)*$H$54</f>
        <v>#VALUE!</v>
      </c>
      <c r="L53" s="32" t="e">
        <f>+(L51-$G$48)*$H$54</f>
        <v>#VALUE!</v>
      </c>
      <c r="M53" s="32" t="e">
        <f t="shared" si="7"/>
        <v>#VALUE!</v>
      </c>
      <c r="N53" s="32" t="e">
        <f t="shared" si="7"/>
        <v>#VALUE!</v>
      </c>
      <c r="O53" s="32" t="e">
        <f t="shared" si="7"/>
        <v>#VALUE!</v>
      </c>
      <c r="P53" s="32" t="e">
        <f t="shared" si="7"/>
        <v>#VALUE!</v>
      </c>
      <c r="Q53" s="32" t="e">
        <f t="shared" si="7"/>
        <v>#VALUE!</v>
      </c>
      <c r="R53" s="32" t="e">
        <f t="shared" si="7"/>
        <v>#VALUE!</v>
      </c>
    </row>
    <row r="54" spans="1:18">
      <c r="A54" s="5"/>
      <c r="B54" s="19"/>
      <c r="C54" s="19"/>
      <c r="D54" s="19"/>
      <c r="E54" s="19"/>
      <c r="F54" s="35" t="s">
        <v>62</v>
      </c>
      <c r="G54" s="35"/>
      <c r="H54" s="35" t="s">
        <v>63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>
      <c r="A55" s="5" t="s">
        <v>64</v>
      </c>
      <c r="B55" s="19"/>
      <c r="C55" s="19"/>
      <c r="D55" s="19"/>
      <c r="E55" s="19"/>
      <c r="F55" s="20" t="e">
        <f>+F37/$D$34</f>
        <v>#DIV/0!</v>
      </c>
      <c r="G55" s="19"/>
      <c r="H55" s="36" t="e">
        <f>+H37/$D$34</f>
        <v>#DIV/0!</v>
      </c>
      <c r="I55" s="37"/>
      <c r="J55" s="38"/>
      <c r="K55" s="19"/>
      <c r="L55" s="38"/>
      <c r="M55" s="37"/>
      <c r="N55" s="39"/>
      <c r="O55" s="37"/>
      <c r="P55" s="39"/>
      <c r="Q55" s="37"/>
      <c r="R55" s="39"/>
    </row>
    <row r="56" spans="1:18">
      <c r="A56" s="5" t="s">
        <v>65</v>
      </c>
      <c r="B56" s="19"/>
      <c r="C56" s="19"/>
      <c r="D56" s="19"/>
      <c r="E56" s="19"/>
      <c r="F56" s="20" t="e">
        <f>+F19/F55</f>
        <v>#DIV/0!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>
      <c r="A57" s="5" t="s">
        <v>66</v>
      </c>
      <c r="B57" s="19"/>
      <c r="C57" s="19"/>
      <c r="D57" s="19"/>
      <c r="E57" s="19"/>
      <c r="F57" s="19"/>
      <c r="G57" s="19"/>
      <c r="H57" s="20" t="e">
        <f>+H19/H55</f>
        <v>#DIV/0!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mergeCells count="24">
    <mergeCell ref="A1:Q1"/>
    <mergeCell ref="D2:E2"/>
    <mergeCell ref="H2:K2"/>
    <mergeCell ref="D4:E4"/>
    <mergeCell ref="H4:K4"/>
    <mergeCell ref="N2:P2"/>
    <mergeCell ref="X6:Y6"/>
    <mergeCell ref="L6:M6"/>
    <mergeCell ref="D6:D7"/>
    <mergeCell ref="E6:E7"/>
    <mergeCell ref="F6:F7"/>
    <mergeCell ref="G6:G7"/>
    <mergeCell ref="H6:I6"/>
    <mergeCell ref="J6:K6"/>
    <mergeCell ref="N6:O6"/>
    <mergeCell ref="P6:Q6"/>
    <mergeCell ref="A51:B51"/>
    <mergeCell ref="A52:B52"/>
    <mergeCell ref="R6:S6"/>
    <mergeCell ref="T6:U6"/>
    <mergeCell ref="V6:W6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курлык</dc:creator>
  <cp:lastModifiedBy>1</cp:lastModifiedBy>
  <dcterms:created xsi:type="dcterms:W3CDTF">2016-03-01T09:15:13Z</dcterms:created>
  <dcterms:modified xsi:type="dcterms:W3CDTF">2016-03-01T23:32:10Z</dcterms:modified>
</cp:coreProperties>
</file>