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0" yWindow="0" windowWidth="21840" windowHeight="13740"/>
  </bookViews>
  <sheets>
    <sheet name="Лист1" sheetId="1" r:id="rId1"/>
  </sheets>
  <definedNames>
    <definedName name="_xlnm.Print_Area" localSheetId="0">Лист1!$A$1:$L$43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9" i="1" l="1"/>
  <c r="K29" i="1"/>
  <c r="H29" i="1"/>
  <c r="I29" i="1"/>
  <c r="F29" i="1"/>
  <c r="G29" i="1"/>
  <c r="J26" i="1"/>
  <c r="K26" i="1"/>
  <c r="H26" i="1"/>
  <c r="I26" i="1"/>
  <c r="F26" i="1"/>
  <c r="G26" i="1"/>
  <c r="J21" i="1"/>
  <c r="K21" i="1"/>
  <c r="J20" i="1"/>
  <c r="K20" i="1"/>
  <c r="J19" i="1"/>
  <c r="K19" i="1"/>
  <c r="H21" i="1"/>
  <c r="I21" i="1"/>
  <c r="H20" i="1"/>
  <c r="I20" i="1"/>
  <c r="H19" i="1"/>
  <c r="I19" i="1"/>
  <c r="F21" i="1"/>
  <c r="G21" i="1"/>
  <c r="F20" i="1"/>
  <c r="G20" i="1"/>
  <c r="F19" i="1"/>
  <c r="G19" i="1"/>
  <c r="F3" i="1"/>
  <c r="F4" i="1"/>
  <c r="G4" i="1"/>
  <c r="H3" i="1"/>
  <c r="H4" i="1"/>
  <c r="H5" i="1"/>
  <c r="I5" i="1"/>
  <c r="J3" i="1"/>
  <c r="K3" i="1"/>
  <c r="H27" i="1"/>
  <c r="H8" i="1"/>
  <c r="I8" i="1"/>
  <c r="H7" i="1"/>
  <c r="I7" i="1"/>
  <c r="H22" i="1"/>
  <c r="H16" i="1"/>
  <c r="I16" i="1"/>
  <c r="H11" i="1"/>
  <c r="I11" i="1"/>
  <c r="H15" i="1"/>
  <c r="I15" i="1"/>
  <c r="H10" i="1"/>
  <c r="I10" i="1"/>
  <c r="H13" i="1"/>
  <c r="I13" i="1"/>
  <c r="H9" i="1"/>
  <c r="I9" i="1"/>
  <c r="H12" i="1"/>
  <c r="I12" i="1"/>
  <c r="H14" i="1"/>
  <c r="I14" i="1"/>
  <c r="I3" i="1"/>
  <c r="I4" i="1"/>
  <c r="G3" i="1"/>
  <c r="F5" i="1"/>
  <c r="G5" i="1"/>
  <c r="J4" i="1"/>
  <c r="K4" i="1"/>
  <c r="F14" i="1"/>
  <c r="G14" i="1"/>
  <c r="F10" i="1"/>
  <c r="G10" i="1"/>
  <c r="F13" i="1"/>
  <c r="G13" i="1"/>
  <c r="F9" i="1"/>
  <c r="G9" i="1"/>
  <c r="F8" i="1"/>
  <c r="F12" i="1"/>
  <c r="G12" i="1"/>
  <c r="F11" i="1"/>
  <c r="G11" i="1"/>
  <c r="I17" i="1"/>
  <c r="F27" i="1"/>
  <c r="F7" i="1"/>
  <c r="G7" i="1"/>
  <c r="F22" i="1"/>
  <c r="F23" i="1"/>
  <c r="I22" i="1"/>
  <c r="I27" i="1"/>
  <c r="H28" i="1"/>
  <c r="I28" i="1"/>
  <c r="F16" i="1"/>
  <c r="G16" i="1"/>
  <c r="F15" i="1"/>
  <c r="G15" i="1"/>
  <c r="J5" i="1"/>
  <c r="K5" i="1"/>
  <c r="J7" i="1"/>
  <c r="K7" i="1"/>
  <c r="J8" i="1"/>
  <c r="K8" i="1"/>
  <c r="J27" i="1"/>
  <c r="H23" i="1"/>
  <c r="G8" i="1"/>
  <c r="G17" i="1"/>
  <c r="G22" i="1"/>
  <c r="J22" i="1"/>
  <c r="K22" i="1"/>
  <c r="G27" i="1"/>
  <c r="F28" i="1"/>
  <c r="G28" i="1"/>
  <c r="F24" i="1"/>
  <c r="G23" i="1"/>
  <c r="J16" i="1"/>
  <c r="K16" i="1"/>
  <c r="J12" i="1"/>
  <c r="K12" i="1"/>
  <c r="J15" i="1"/>
  <c r="K15" i="1"/>
  <c r="J11" i="1"/>
  <c r="K11" i="1"/>
  <c r="J14" i="1"/>
  <c r="K14" i="1"/>
  <c r="J10" i="1"/>
  <c r="K10" i="1"/>
  <c r="J13" i="1"/>
  <c r="K13" i="1"/>
  <c r="J9" i="1"/>
  <c r="K9" i="1"/>
  <c r="K17" i="1"/>
  <c r="H24" i="1"/>
  <c r="I23" i="1"/>
  <c r="J23" i="1"/>
  <c r="K23" i="1"/>
  <c r="K27" i="1"/>
  <c r="J28" i="1"/>
  <c r="K28" i="1"/>
  <c r="G24" i="1"/>
  <c r="F25" i="1"/>
  <c r="G25" i="1"/>
  <c r="G30" i="1"/>
  <c r="G42" i="1"/>
  <c r="G41" i="1"/>
  <c r="I24" i="1"/>
  <c r="H25" i="1"/>
  <c r="I25" i="1"/>
  <c r="I30" i="1"/>
  <c r="I42" i="1"/>
  <c r="J24" i="1"/>
  <c r="K24" i="1"/>
  <c r="G37" i="1"/>
  <c r="G38" i="1"/>
  <c r="G39" i="1"/>
  <c r="I37" i="1"/>
  <c r="I39" i="1"/>
  <c r="I41" i="1"/>
  <c r="J25" i="1"/>
  <c r="K25" i="1"/>
  <c r="K30" i="1"/>
  <c r="K37" i="1"/>
  <c r="K42" i="1"/>
  <c r="I38" i="1"/>
  <c r="K41" i="1"/>
  <c r="K38" i="1"/>
  <c r="K39" i="1"/>
</calcChain>
</file>

<file path=xl/sharedStrings.xml><?xml version="1.0" encoding="utf-8"?>
<sst xmlns="http://schemas.openxmlformats.org/spreadsheetml/2006/main" count="73" uniqueCount="73">
  <si>
    <t>Цена к/к (руб)</t>
  </si>
  <si>
    <t>Потери к/к (%)</t>
  </si>
  <si>
    <t>Забойный вес (живой) кг.</t>
  </si>
  <si>
    <t>Выход мяса (%)</t>
  </si>
  <si>
    <t>Коэффициент выживаемости (%)</t>
  </si>
  <si>
    <t>Норма потребления на взр. ед. (кг)</t>
  </si>
  <si>
    <t>Ремонтный молодняк (шт.)</t>
  </si>
  <si>
    <t>Штатных крольчих (шт.)</t>
  </si>
  <si>
    <t>Штатных кролов (шт.)</t>
  </si>
  <si>
    <t>Крольчат в окроле (шт. в среднем)</t>
  </si>
  <si>
    <t>Конверсия кормов на откорме  до 3 мес.</t>
  </si>
  <si>
    <t>Забойный возраст (дн.)</t>
  </si>
  <si>
    <t>Случка дней после окрола</t>
  </si>
  <si>
    <t>Стоимость мяса в реализации (руб/кг)</t>
  </si>
  <si>
    <t>Стоимость шкурки (руб/шт)</t>
  </si>
  <si>
    <t>Выход печени (кг. с тушки)</t>
  </si>
  <si>
    <t>Стоимость печени (руб/кг)</t>
  </si>
  <si>
    <t>Выход навоза (кг. с головы)</t>
  </si>
  <si>
    <t>Выход биогумуса (кг. с головы)</t>
  </si>
  <si>
    <t>Стоимость навоза (руб/кг)</t>
  </si>
  <si>
    <t>Стоимость биогумуса (руб/кг)</t>
  </si>
  <si>
    <t>Стоимость кВт/час (руб)</t>
  </si>
  <si>
    <t>Стоимость чел/час (руб)</t>
  </si>
  <si>
    <t>Расчетный период</t>
  </si>
  <si>
    <t>Неделя</t>
  </si>
  <si>
    <t>Месяц</t>
  </si>
  <si>
    <t>Год</t>
  </si>
  <si>
    <t>Мясо (кг/руб)</t>
  </si>
  <si>
    <t>Печень (кг/руб)</t>
  </si>
  <si>
    <t>Жир (кг/руб)</t>
  </si>
  <si>
    <t>Голова (кг/руб)</t>
  </si>
  <si>
    <t>Язык (кг/руб)</t>
  </si>
  <si>
    <t>Навоз (кг/руб)</t>
  </si>
  <si>
    <t>Биогумус (кг/руб)</t>
  </si>
  <si>
    <t>Окролов с кролеместа/с фермы (шт.)</t>
  </si>
  <si>
    <t>В забой с кролеместа/с фермы (шт.)</t>
  </si>
  <si>
    <t>Крольчат с кролеместа/с фермы (шт.)</t>
  </si>
  <si>
    <t>ИТОГО приход:</t>
  </si>
  <si>
    <t>Выход голов (кг. с тушики)</t>
  </si>
  <si>
    <t>Выход языков (кг. с тушки)</t>
  </si>
  <si>
    <t>Стоимость лапки, ушки (руб/шт.)</t>
  </si>
  <si>
    <t>Лапки, ушки (шт/руб)</t>
  </si>
  <si>
    <t>Выход жира (кг. с тушки)</t>
  </si>
  <si>
    <t>Шкурки (шт/руб)</t>
  </si>
  <si>
    <t>Стоимость жира (руб/кг)</t>
  </si>
  <si>
    <t>Стоимость голов (руб/кг)</t>
  </si>
  <si>
    <t>Стоимость языков (руб/кг)</t>
  </si>
  <si>
    <t>Корма на кролов (кг/руб)</t>
  </si>
  <si>
    <t>Корма на крольчих (кг/руб)</t>
  </si>
  <si>
    <t>Корма на ремонт (кг/руб)</t>
  </si>
  <si>
    <t>Корма на откорме (кг/руб)</t>
  </si>
  <si>
    <t>Потери кормов (кг/руб)</t>
  </si>
  <si>
    <t>Скормили кормов (кг/руб)</t>
  </si>
  <si>
    <t>ИТОГО корма (кг/руб):</t>
  </si>
  <si>
    <t>Затраты электроэнергии (кВтЧ/руб)</t>
  </si>
  <si>
    <t>Затраты труда на ферме (ЧелЧ/руб)</t>
  </si>
  <si>
    <t>Затраты труда на забой (ЧелЧ/руб)</t>
  </si>
  <si>
    <t>Количетво ч/час в день на 1 штатную крольчиху</t>
  </si>
  <si>
    <t>Производительность на забое (шт/час)</t>
  </si>
  <si>
    <t>ИТОГО затраты труда: (ЧелЧ/руб)</t>
  </si>
  <si>
    <t>Мощность электроприборов кролефермы (кВт)</t>
  </si>
  <si>
    <t>ИТОГО расход:</t>
  </si>
  <si>
    <t>Общий</t>
  </si>
  <si>
    <t>Доход/Убыток</t>
  </si>
  <si>
    <t>На одну крольчиху</t>
  </si>
  <si>
    <t>Себестоимость кг. Живого веса</t>
  </si>
  <si>
    <t>Себестоимость кг. Мяса</t>
  </si>
  <si>
    <t>Количество голов на собственные нужды в неделю</t>
  </si>
  <si>
    <t>От 2 до 12 кг/чел в год.</t>
  </si>
  <si>
    <t>Живой вес (кг/руб)</t>
  </si>
  <si>
    <t>Стоимость живого веса в реализации (руб/кг)</t>
  </si>
  <si>
    <t>Реализация живым весом (%)</t>
  </si>
  <si>
    <t>С одной головы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</si>
</sst>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&quot;р.&quot;;[Red]\-#,##0.00&quot;р.&quot;"/>
    <numFmt numFmtId="164" formatCode="0.0"/>
    <numFmt numFmtId="165" formatCode="#,##0.00&quot;р.&quot;"/>
    <numFmt numFmtId="166" formatCode="#,##0.0&quot;р.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3" borderId="1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0" fillId="0" borderId="0" xfId="0" applyBorder="1" applyProtection="1">
      <protection hidden="1"/>
    </xf>
    <xf numFmtId="0" fontId="0" fillId="3" borderId="3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0" fillId="0" borderId="5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1" fillId="10" borderId="13" xfId="0" applyFont="1" applyFill="1" applyBorder="1" applyProtection="1">
      <protection hidden="1"/>
    </xf>
    <xf numFmtId="0" fontId="0" fillId="3" borderId="14" xfId="0" applyFill="1" applyBorder="1" applyProtection="1">
      <protection hidden="1"/>
    </xf>
    <xf numFmtId="164" fontId="0" fillId="3" borderId="1" xfId="0" applyNumberFormat="1" applyFill="1" applyBorder="1" applyProtection="1">
      <protection hidden="1"/>
    </xf>
    <xf numFmtId="164" fontId="0" fillId="3" borderId="2" xfId="0" applyNumberFormat="1" applyFill="1" applyBorder="1" applyProtection="1">
      <protection hidden="1"/>
    </xf>
    <xf numFmtId="0" fontId="0" fillId="2" borderId="15" xfId="0" applyFill="1" applyBorder="1" applyProtection="1">
      <protection hidden="1"/>
    </xf>
    <xf numFmtId="164" fontId="0" fillId="2" borderId="3" xfId="0" applyNumberFormat="1" applyFill="1" applyBorder="1" applyProtection="1">
      <protection hidden="1"/>
    </xf>
    <xf numFmtId="164" fontId="0" fillId="2" borderId="4" xfId="0" applyNumberFormat="1" applyFill="1" applyBorder="1" applyProtection="1">
      <protection hidden="1"/>
    </xf>
    <xf numFmtId="0" fontId="0" fillId="3" borderId="16" xfId="0" applyFill="1" applyBorder="1" applyProtection="1">
      <protection hidden="1"/>
    </xf>
    <xf numFmtId="164" fontId="0" fillId="3" borderId="5" xfId="0" applyNumberFormat="1" applyFill="1" applyBorder="1" applyProtection="1">
      <protection hidden="1"/>
    </xf>
    <xf numFmtId="164" fontId="0" fillId="3" borderId="6" xfId="0" applyNumberFormat="1" applyFill="1" applyBorder="1" applyProtection="1">
      <protection hidden="1"/>
    </xf>
    <xf numFmtId="164" fontId="0" fillId="0" borderId="0" xfId="0" applyNumberFormat="1" applyBorder="1" applyProtection="1">
      <protection hidden="1"/>
    </xf>
    <xf numFmtId="0" fontId="0" fillId="4" borderId="18" xfId="0" applyFill="1" applyBorder="1" applyProtection="1">
      <protection hidden="1"/>
    </xf>
    <xf numFmtId="164" fontId="0" fillId="4" borderId="1" xfId="0" applyNumberFormat="1" applyFill="1" applyBorder="1" applyProtection="1">
      <protection hidden="1"/>
    </xf>
    <xf numFmtId="165" fontId="0" fillId="4" borderId="2" xfId="0" applyNumberFormat="1" applyFill="1" applyBorder="1" applyProtection="1">
      <protection hidden="1"/>
    </xf>
    <xf numFmtId="0" fontId="0" fillId="11" borderId="22" xfId="0" applyFill="1" applyBorder="1" applyProtection="1">
      <protection hidden="1"/>
    </xf>
    <xf numFmtId="164" fontId="0" fillId="11" borderId="7" xfId="0" applyNumberFormat="1" applyFill="1" applyBorder="1" applyProtection="1">
      <protection hidden="1"/>
    </xf>
    <xf numFmtId="165" fontId="0" fillId="11" borderId="8" xfId="0" applyNumberFormat="1" applyFill="1" applyBorder="1" applyProtection="1">
      <protection hidden="1"/>
    </xf>
    <xf numFmtId="0" fontId="0" fillId="4" borderId="19" xfId="0" applyFill="1" applyBorder="1" applyProtection="1">
      <protection hidden="1"/>
    </xf>
    <xf numFmtId="164" fontId="0" fillId="4" borderId="3" xfId="0" applyNumberFormat="1" applyFill="1" applyBorder="1" applyProtection="1">
      <protection hidden="1"/>
    </xf>
    <xf numFmtId="165" fontId="0" fillId="4" borderId="4" xfId="0" applyNumberFormat="1" applyFill="1" applyBorder="1" applyProtection="1">
      <protection hidden="1"/>
    </xf>
    <xf numFmtId="166" fontId="0" fillId="4" borderId="4" xfId="0" applyNumberFormat="1" applyFill="1" applyBorder="1" applyProtection="1">
      <protection hidden="1"/>
    </xf>
    <xf numFmtId="0" fontId="0" fillId="11" borderId="19" xfId="0" applyFill="1" applyBorder="1" applyProtection="1">
      <protection hidden="1"/>
    </xf>
    <xf numFmtId="164" fontId="0" fillId="11" borderId="3" xfId="0" applyNumberFormat="1" applyFill="1" applyBorder="1" applyProtection="1">
      <protection hidden="1"/>
    </xf>
    <xf numFmtId="165" fontId="0" fillId="11" borderId="4" xfId="0" applyNumberFormat="1" applyFill="1" applyBorder="1" applyProtection="1">
      <protection hidden="1"/>
    </xf>
    <xf numFmtId="166" fontId="0" fillId="11" borderId="4" xfId="0" applyNumberFormat="1" applyFill="1" applyBorder="1" applyProtection="1">
      <protection hidden="1"/>
    </xf>
    <xf numFmtId="1" fontId="0" fillId="4" borderId="3" xfId="0" applyNumberFormat="1" applyFill="1" applyBorder="1" applyProtection="1">
      <protection hidden="1"/>
    </xf>
    <xf numFmtId="1" fontId="0" fillId="11" borderId="3" xfId="0" applyNumberFormat="1" applyFill="1" applyBorder="1" applyProtection="1">
      <protection hidden="1"/>
    </xf>
    <xf numFmtId="0" fontId="0" fillId="11" borderId="20" xfId="0" applyFill="1" applyBorder="1" applyProtection="1">
      <protection hidden="1"/>
    </xf>
    <xf numFmtId="164" fontId="0" fillId="11" borderId="5" xfId="0" applyNumberFormat="1" applyFill="1" applyBorder="1" applyProtection="1">
      <protection hidden="1"/>
    </xf>
    <xf numFmtId="165" fontId="0" fillId="11" borderId="6" xfId="0" applyNumberFormat="1" applyFill="1" applyBorder="1" applyProtection="1">
      <protection hidden="1"/>
    </xf>
    <xf numFmtId="166" fontId="0" fillId="11" borderId="6" xfId="0" applyNumberFormat="1" applyFill="1" applyBorder="1" applyProtection="1">
      <protection hidden="1"/>
    </xf>
    <xf numFmtId="0" fontId="3" fillId="7" borderId="13" xfId="0" applyFont="1" applyFill="1" applyBorder="1" applyProtection="1">
      <protection hidden="1"/>
    </xf>
    <xf numFmtId="164" fontId="4" fillId="7" borderId="9" xfId="0" applyNumberFormat="1" applyFont="1" applyFill="1" applyBorder="1" applyProtection="1">
      <protection hidden="1"/>
    </xf>
    <xf numFmtId="165" fontId="3" fillId="7" borderId="10" xfId="0" applyNumberFormat="1" applyFont="1" applyFill="1" applyBorder="1" applyProtection="1">
      <protection hidden="1"/>
    </xf>
    <xf numFmtId="0" fontId="0" fillId="8" borderId="14" xfId="0" applyFill="1" applyBorder="1" applyProtection="1">
      <protection hidden="1"/>
    </xf>
    <xf numFmtId="164" fontId="0" fillId="8" borderId="1" xfId="0" applyNumberFormat="1" applyFill="1" applyBorder="1" applyProtection="1">
      <protection hidden="1"/>
    </xf>
    <xf numFmtId="165" fontId="0" fillId="8" borderId="2" xfId="0" applyNumberFormat="1" applyFill="1" applyBorder="1" applyProtection="1">
      <protection hidden="1"/>
    </xf>
    <xf numFmtId="0" fontId="0" fillId="6" borderId="15" xfId="0" applyFill="1" applyBorder="1" applyProtection="1">
      <protection hidden="1"/>
    </xf>
    <xf numFmtId="164" fontId="0" fillId="6" borderId="3" xfId="0" applyNumberFormat="1" applyFill="1" applyBorder="1" applyProtection="1">
      <protection hidden="1"/>
    </xf>
    <xf numFmtId="165" fontId="0" fillId="6" borderId="4" xfId="0" applyNumberFormat="1" applyFill="1" applyBorder="1" applyProtection="1">
      <protection hidden="1"/>
    </xf>
    <xf numFmtId="0" fontId="0" fillId="8" borderId="15" xfId="0" applyFill="1" applyBorder="1" applyProtection="1">
      <protection hidden="1"/>
    </xf>
    <xf numFmtId="164" fontId="0" fillId="8" borderId="3" xfId="0" applyNumberFormat="1" applyFill="1" applyBorder="1" applyProtection="1">
      <protection hidden="1"/>
    </xf>
    <xf numFmtId="165" fontId="0" fillId="8" borderId="4" xfId="0" applyNumberFormat="1" applyFill="1" applyBorder="1" applyProtection="1">
      <protection hidden="1"/>
    </xf>
    <xf numFmtId="0" fontId="0" fillId="6" borderId="21" xfId="0" applyFill="1" applyBorder="1" applyProtection="1">
      <protection hidden="1"/>
    </xf>
    <xf numFmtId="164" fontId="0" fillId="6" borderId="11" xfId="0" applyNumberFormat="1" applyFill="1" applyBorder="1" applyProtection="1">
      <protection hidden="1"/>
    </xf>
    <xf numFmtId="165" fontId="0" fillId="6" borderId="12" xfId="0" applyNumberFormat="1" applyFill="1" applyBorder="1" applyProtection="1">
      <protection hidden="1"/>
    </xf>
    <xf numFmtId="0" fontId="3" fillId="2" borderId="13" xfId="0" applyFont="1" applyFill="1" applyBorder="1" applyProtection="1">
      <protection hidden="1"/>
    </xf>
    <xf numFmtId="164" fontId="4" fillId="2" borderId="9" xfId="0" applyNumberFormat="1" applyFont="1" applyFill="1" applyBorder="1" applyProtection="1">
      <protection hidden="1"/>
    </xf>
    <xf numFmtId="165" fontId="3" fillId="2" borderId="10" xfId="0" applyNumberFormat="1" applyFont="1" applyFill="1" applyBorder="1" applyProtection="1">
      <protection hidden="1"/>
    </xf>
    <xf numFmtId="0" fontId="5" fillId="8" borderId="13" xfId="0" applyFont="1" applyFill="1" applyBorder="1" applyProtection="1">
      <protection hidden="1"/>
    </xf>
    <xf numFmtId="0" fontId="5" fillId="8" borderId="9" xfId="0" applyFont="1" applyFill="1" applyBorder="1" applyProtection="1">
      <protection hidden="1"/>
    </xf>
    <xf numFmtId="165" fontId="5" fillId="8" borderId="10" xfId="0" applyNumberFormat="1" applyFont="1" applyFill="1" applyBorder="1" applyProtection="1">
      <protection hidden="1"/>
    </xf>
    <xf numFmtId="0" fontId="3" fillId="5" borderId="13" xfId="0" applyFont="1" applyFill="1" applyBorder="1" applyProtection="1">
      <protection hidden="1"/>
    </xf>
    <xf numFmtId="0" fontId="4" fillId="5" borderId="9" xfId="0" applyFont="1" applyFill="1" applyBorder="1" applyProtection="1">
      <protection hidden="1"/>
    </xf>
    <xf numFmtId="165" fontId="3" fillId="5" borderId="10" xfId="0" applyNumberFormat="1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165" fontId="3" fillId="0" borderId="0" xfId="0" applyNumberFormat="1" applyFont="1" applyFill="1" applyBorder="1" applyProtection="1">
      <protection hidden="1"/>
    </xf>
    <xf numFmtId="0" fontId="0" fillId="10" borderId="17" xfId="0" applyFill="1" applyBorder="1" applyProtection="1">
      <protection hidden="1"/>
    </xf>
    <xf numFmtId="0" fontId="0" fillId="9" borderId="14" xfId="0" applyFill="1" applyBorder="1" applyProtection="1">
      <protection hidden="1"/>
    </xf>
    <xf numFmtId="0" fontId="0" fillId="9" borderId="1" xfId="0" applyFill="1" applyBorder="1" applyProtection="1">
      <protection hidden="1"/>
    </xf>
    <xf numFmtId="8" fontId="2" fillId="9" borderId="2" xfId="0" applyNumberFormat="1" applyFont="1" applyFill="1" applyBorder="1" applyProtection="1">
      <protection hidden="1"/>
    </xf>
    <xf numFmtId="0" fontId="2" fillId="9" borderId="1" xfId="0" applyFont="1" applyFill="1" applyBorder="1" applyProtection="1">
      <protection hidden="1"/>
    </xf>
    <xf numFmtId="40" fontId="2" fillId="9" borderId="2" xfId="0" applyNumberFormat="1" applyFont="1" applyFill="1" applyBorder="1" applyProtection="1">
      <protection hidden="1"/>
    </xf>
    <xf numFmtId="0" fontId="0" fillId="10" borderId="15" xfId="0" applyFill="1" applyBorder="1" applyProtection="1">
      <protection hidden="1"/>
    </xf>
    <xf numFmtId="0" fontId="0" fillId="10" borderId="3" xfId="0" applyFill="1" applyBorder="1" applyProtection="1">
      <protection hidden="1"/>
    </xf>
    <xf numFmtId="8" fontId="1" fillId="10" borderId="4" xfId="0" applyNumberFormat="1" applyFont="1" applyFill="1" applyBorder="1" applyProtection="1">
      <protection hidden="1"/>
    </xf>
    <xf numFmtId="0" fontId="1" fillId="10" borderId="3" xfId="0" applyFont="1" applyFill="1" applyBorder="1" applyProtection="1">
      <protection hidden="1"/>
    </xf>
    <xf numFmtId="40" fontId="1" fillId="10" borderId="4" xfId="0" applyNumberFormat="1" applyFont="1" applyFill="1" applyBorder="1" applyProtection="1">
      <protection hidden="1"/>
    </xf>
    <xf numFmtId="0" fontId="0" fillId="10" borderId="16" xfId="0" applyFill="1" applyBorder="1" applyProtection="1">
      <protection hidden="1"/>
    </xf>
    <xf numFmtId="0" fontId="0" fillId="10" borderId="5" xfId="0" applyFill="1" applyBorder="1" applyProtection="1">
      <protection hidden="1"/>
    </xf>
    <xf numFmtId="8" fontId="1" fillId="10" borderId="6" xfId="0" applyNumberFormat="1" applyFont="1" applyFill="1" applyBorder="1" applyProtection="1">
      <protection hidden="1"/>
    </xf>
    <xf numFmtId="0" fontId="1" fillId="10" borderId="5" xfId="0" applyFont="1" applyFill="1" applyBorder="1" applyProtection="1">
      <protection hidden="1"/>
    </xf>
    <xf numFmtId="40" fontId="1" fillId="10" borderId="6" xfId="0" applyNumberFormat="1" applyFont="1" applyFill="1" applyBorder="1" applyProtection="1">
      <protection hidden="1"/>
    </xf>
    <xf numFmtId="0" fontId="0" fillId="10" borderId="14" xfId="0" applyFill="1" applyBorder="1" applyProtection="1">
      <protection hidden="1"/>
    </xf>
    <xf numFmtId="0" fontId="0" fillId="10" borderId="1" xfId="0" applyFill="1" applyBorder="1" applyProtection="1">
      <protection hidden="1"/>
    </xf>
    <xf numFmtId="8" fontId="1" fillId="10" borderId="2" xfId="0" applyNumberFormat="1" applyFont="1" applyFill="1" applyBorder="1" applyProtection="1">
      <protection hidden="1"/>
    </xf>
    <xf numFmtId="0" fontId="1" fillId="3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165" fontId="1" fillId="3" borderId="2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165" fontId="1" fillId="3" borderId="6" xfId="0" applyNumberFormat="1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165" fontId="1" fillId="0" borderId="6" xfId="0" applyNumberFormat="1" applyFon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165" fontId="1" fillId="3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0" fontId="1" fillId="0" borderId="0" xfId="0" applyFont="1" applyFill="1" applyBorder="1" applyProtection="1">
      <protection hidden="1"/>
    </xf>
    <xf numFmtId="165" fontId="1" fillId="0" borderId="0" xfId="0" applyNumberFormat="1" applyFont="1" applyFill="1" applyBorder="1" applyProtection="1">
      <protection hidden="1"/>
    </xf>
    <xf numFmtId="0" fontId="1" fillId="10" borderId="9" xfId="0" applyFont="1" applyFill="1" applyBorder="1" applyAlignment="1" applyProtection="1">
      <alignment horizontal="center"/>
      <protection hidden="1"/>
    </xf>
    <xf numFmtId="0" fontId="1" fillId="10" borderId="10" xfId="0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1"/>
  <sheetViews>
    <sheetView tabSelected="1" zoomScale="80" zoomScaleNormal="80" zoomScaleSheetLayoutView="80" zoomScalePageLayoutView="80" workbookViewId="0">
      <selection activeCell="C9" sqref="C9"/>
    </sheetView>
  </sheetViews>
  <sheetFormatPr defaultColWidth="8.85546875" defaultRowHeight="15" x14ac:dyDescent="0.25"/>
  <cols>
    <col min="1" max="1" width="3.42578125" customWidth="1"/>
    <col min="2" max="2" width="53" customWidth="1"/>
    <col min="3" max="3" width="10.7109375" customWidth="1"/>
    <col min="4" max="4" width="12.42578125" style="1" customWidth="1"/>
    <col min="5" max="5" width="38.28515625" customWidth="1"/>
    <col min="7" max="7" width="13.85546875" customWidth="1"/>
    <col min="8" max="8" width="10.42578125" customWidth="1"/>
    <col min="9" max="9" width="16.85546875" customWidth="1"/>
    <col min="11" max="11" width="17.28515625" customWidth="1"/>
  </cols>
  <sheetData>
    <row r="1" spans="2:11" ht="15.75" thickBot="1" x14ac:dyDescent="0.3"/>
    <row r="2" spans="2:11" ht="15.75" thickBot="1" x14ac:dyDescent="0.3">
      <c r="B2" s="3" t="s">
        <v>7</v>
      </c>
      <c r="C2" s="91">
        <v>120</v>
      </c>
      <c r="E2" s="14" t="s">
        <v>23</v>
      </c>
      <c r="F2" s="106" t="s">
        <v>24</v>
      </c>
      <c r="G2" s="107"/>
      <c r="H2" s="106" t="s">
        <v>25</v>
      </c>
      <c r="I2" s="107"/>
      <c r="J2" s="106" t="s">
        <v>26</v>
      </c>
      <c r="K2" s="107"/>
    </row>
    <row r="3" spans="2:11" x14ac:dyDescent="0.25">
      <c r="B3" s="4" t="s">
        <v>8</v>
      </c>
      <c r="C3" s="92">
        <v>12</v>
      </c>
      <c r="E3" s="15" t="s">
        <v>34</v>
      </c>
      <c r="F3" s="16">
        <f>PRODUCT(7/(30+C6))</f>
        <v>0.12727272727272726</v>
      </c>
      <c r="G3" s="17">
        <f>PRODUCT(F3,C2)</f>
        <v>15.272727272727272</v>
      </c>
      <c r="H3" s="16">
        <f>PRODUCT(30/(30+C6))</f>
        <v>0.54545454545454541</v>
      </c>
      <c r="I3" s="17">
        <f>PRODUCT(H3,C2)</f>
        <v>65.454545454545453</v>
      </c>
      <c r="J3" s="16">
        <f>PRODUCT(365/(30+C6))</f>
        <v>6.6363636363636367</v>
      </c>
      <c r="K3" s="17">
        <f>PRODUCT(J3,C2)</f>
        <v>796.36363636363637</v>
      </c>
    </row>
    <row r="4" spans="2:11" ht="15.75" thickBot="1" x14ac:dyDescent="0.3">
      <c r="B4" s="5" t="s">
        <v>6</v>
      </c>
      <c r="C4" s="93">
        <v>20</v>
      </c>
      <c r="E4" s="18" t="s">
        <v>36</v>
      </c>
      <c r="F4" s="19">
        <f>PRODUCT(F3,C7)</f>
        <v>1.0181818181818181</v>
      </c>
      <c r="G4" s="20">
        <f>PRODUCT(F4,C2)</f>
        <v>122.18181818181817</v>
      </c>
      <c r="H4" s="19">
        <f>PRODUCT(H3,C7)</f>
        <v>4.3636363636363633</v>
      </c>
      <c r="I4" s="20">
        <f>PRODUCT(H4,C2)</f>
        <v>523.63636363636363</v>
      </c>
      <c r="J4" s="19">
        <f>PRODUCT(J3,C7)</f>
        <v>53.090909090909093</v>
      </c>
      <c r="K4" s="20">
        <f>PRODUCT(J4,C2)</f>
        <v>6370.909090909091</v>
      </c>
    </row>
    <row r="5" spans="2:11" ht="15.75" thickBot="1" x14ac:dyDescent="0.3">
      <c r="B5" s="6"/>
      <c r="C5" s="104"/>
      <c r="E5" s="21" t="s">
        <v>35</v>
      </c>
      <c r="F5" s="22">
        <f>PRODUCT(F4,C8)</f>
        <v>0.91636363636363627</v>
      </c>
      <c r="G5" s="23">
        <f>PRODUCT(F5,C2)</f>
        <v>109.96363636363635</v>
      </c>
      <c r="H5" s="22">
        <f>PRODUCT(H4,C8)</f>
        <v>3.9272727272727272</v>
      </c>
      <c r="I5" s="23">
        <f>PRODUCT(H5,C2)</f>
        <v>471.27272727272725</v>
      </c>
      <c r="J5" s="22">
        <f>PRODUCT(J4,C8)</f>
        <v>47.781818181818188</v>
      </c>
      <c r="K5" s="23">
        <f>PRODUCT(J5,C2)</f>
        <v>5733.8181818181829</v>
      </c>
    </row>
    <row r="6" spans="2:11" ht="15.75" thickBot="1" x14ac:dyDescent="0.3">
      <c r="B6" s="3" t="s">
        <v>12</v>
      </c>
      <c r="C6" s="91">
        <v>25</v>
      </c>
      <c r="E6" s="6"/>
      <c r="F6" s="24"/>
      <c r="G6" s="24"/>
      <c r="H6" s="24"/>
      <c r="I6" s="24"/>
      <c r="J6" s="24"/>
      <c r="K6" s="6"/>
    </row>
    <row r="7" spans="2:11" x14ac:dyDescent="0.25">
      <c r="B7" s="4" t="s">
        <v>9</v>
      </c>
      <c r="C7" s="92">
        <v>8</v>
      </c>
      <c r="E7" s="25" t="s">
        <v>69</v>
      </c>
      <c r="F7" s="26">
        <f>PRODUCT((G5-C42),C9/100,C11)</f>
        <v>26.240909090909092</v>
      </c>
      <c r="G7" s="27">
        <f t="shared" ref="G7:G16" si="0">PRODUCT(F7,C32)</f>
        <v>13120.454545454546</v>
      </c>
      <c r="H7" s="26">
        <f>PRODUCT((I5-(C42*4)),C9/100,C11)</f>
        <v>112.81818181818181</v>
      </c>
      <c r="I7" s="27">
        <f t="shared" ref="I7:I16" si="1">PRODUCT(H7,C32)</f>
        <v>56409.090909090904</v>
      </c>
      <c r="J7" s="26">
        <f>PRODUCT((K5-(C42*52)),C9/100,C11)</f>
        <v>1368.4545454545457</v>
      </c>
      <c r="K7" s="27">
        <f t="shared" ref="K7:K16" si="2">PRODUCT(J7,C32)</f>
        <v>684227.27272727282</v>
      </c>
    </row>
    <row r="8" spans="2:11" x14ac:dyDescent="0.25">
      <c r="B8" s="7" t="s">
        <v>4</v>
      </c>
      <c r="C8" s="94">
        <v>0.9</v>
      </c>
      <c r="E8" s="28" t="s">
        <v>27</v>
      </c>
      <c r="F8" s="29">
        <f>PRODUCT((G5-C42),(100-C9)/100,C11,C12/100)</f>
        <v>141.70090909090905</v>
      </c>
      <c r="G8" s="30">
        <f t="shared" si="0"/>
        <v>70850.45454545453</v>
      </c>
      <c r="H8" s="29">
        <f>PRODUCT((I5-C42*4),(100-C9)/100,C11,C12/100)</f>
        <v>609.21818181818173</v>
      </c>
      <c r="I8" s="30">
        <f t="shared" si="1"/>
        <v>304609.09090909088</v>
      </c>
      <c r="J8" s="29">
        <f>PRODUCT((K5-C42*52),(100-C9)/100,C11,C12/100)</f>
        <v>7389.6545454545467</v>
      </c>
      <c r="K8" s="30">
        <f t="shared" si="2"/>
        <v>3694827.2727272734</v>
      </c>
    </row>
    <row r="9" spans="2:11" x14ac:dyDescent="0.25">
      <c r="B9" s="4" t="s">
        <v>71</v>
      </c>
      <c r="C9" s="92">
        <v>10</v>
      </c>
      <c r="E9" s="31" t="s">
        <v>28</v>
      </c>
      <c r="F9" s="32">
        <f>PRODUCT((G5-C42),(100-C9)/100,C13)</f>
        <v>14.170090909090908</v>
      </c>
      <c r="G9" s="33">
        <f t="shared" si="0"/>
        <v>0</v>
      </c>
      <c r="H9" s="32">
        <f>PRODUCT(I5,C13)</f>
        <v>70.690909090909088</v>
      </c>
      <c r="I9" s="34">
        <f t="shared" si="1"/>
        <v>0</v>
      </c>
      <c r="J9" s="32">
        <f>PRODUCT(K5,C13)</f>
        <v>860.07272727272743</v>
      </c>
      <c r="K9" s="34">
        <f t="shared" si="2"/>
        <v>0</v>
      </c>
    </row>
    <row r="10" spans="2:11" x14ac:dyDescent="0.25">
      <c r="B10" s="7" t="s">
        <v>11</v>
      </c>
      <c r="C10" s="94">
        <v>90</v>
      </c>
      <c r="E10" s="35" t="s">
        <v>29</v>
      </c>
      <c r="F10" s="36">
        <f>PRODUCT((G5-C42),(100-C9)/100,C14)</f>
        <v>9.4467272727272711</v>
      </c>
      <c r="G10" s="37">
        <f t="shared" si="0"/>
        <v>0</v>
      </c>
      <c r="H10" s="36">
        <f>PRODUCT(I5,C14)</f>
        <v>47.127272727272725</v>
      </c>
      <c r="I10" s="38">
        <f t="shared" si="1"/>
        <v>0</v>
      </c>
      <c r="J10" s="36">
        <f>PRODUCT(K5,C14)</f>
        <v>573.38181818181829</v>
      </c>
      <c r="K10" s="38">
        <f t="shared" si="2"/>
        <v>0</v>
      </c>
    </row>
    <row r="11" spans="2:11" x14ac:dyDescent="0.25">
      <c r="B11" s="4" t="s">
        <v>2</v>
      </c>
      <c r="C11" s="92">
        <v>2.5</v>
      </c>
      <c r="E11" s="31" t="s">
        <v>30</v>
      </c>
      <c r="F11" s="32">
        <f>PRODUCT((G5-C42),(100-C9)/100,C15)</f>
        <v>18.893454545454542</v>
      </c>
      <c r="G11" s="33">
        <f t="shared" si="0"/>
        <v>0</v>
      </c>
      <c r="H11" s="32">
        <f>PRODUCT(I5,C15)</f>
        <v>94.25454545454545</v>
      </c>
      <c r="I11" s="34">
        <f t="shared" si="1"/>
        <v>0</v>
      </c>
      <c r="J11" s="32">
        <f>PRODUCT(K5,C15)</f>
        <v>1146.7636363636366</v>
      </c>
      <c r="K11" s="34">
        <f t="shared" si="2"/>
        <v>0</v>
      </c>
    </row>
    <row r="12" spans="2:11" x14ac:dyDescent="0.25">
      <c r="B12" s="7" t="s">
        <v>3</v>
      </c>
      <c r="C12" s="94">
        <v>60</v>
      </c>
      <c r="E12" s="35" t="s">
        <v>31</v>
      </c>
      <c r="F12" s="36">
        <f>PRODUCT((G5-C42),(100-C9)/100,C16)</f>
        <v>0.94467272727272711</v>
      </c>
      <c r="G12" s="37">
        <f t="shared" si="0"/>
        <v>0</v>
      </c>
      <c r="H12" s="36">
        <f>PRODUCT(I5,C16)</f>
        <v>4.7127272727272729</v>
      </c>
      <c r="I12" s="38">
        <f t="shared" si="1"/>
        <v>0</v>
      </c>
      <c r="J12" s="36">
        <f>PRODUCT(K5,C16)</f>
        <v>57.33818181818183</v>
      </c>
      <c r="K12" s="38">
        <f t="shared" si="2"/>
        <v>0</v>
      </c>
    </row>
    <row r="13" spans="2:11" x14ac:dyDescent="0.25">
      <c r="B13" s="4" t="s">
        <v>15</v>
      </c>
      <c r="C13" s="92">
        <v>0.15</v>
      </c>
      <c r="E13" s="31" t="s">
        <v>43</v>
      </c>
      <c r="F13" s="39">
        <f>PRODUCT((G5-C42),(100-C9)/100)</f>
        <v>94.467272727272714</v>
      </c>
      <c r="G13" s="33">
        <f t="shared" si="0"/>
        <v>0</v>
      </c>
      <c r="H13" s="39">
        <f>PRODUCT(I5)</f>
        <v>471.27272727272725</v>
      </c>
      <c r="I13" s="34">
        <f t="shared" si="1"/>
        <v>0</v>
      </c>
      <c r="J13" s="39">
        <f>PRODUCT(K5)</f>
        <v>5733.8181818181829</v>
      </c>
      <c r="K13" s="34">
        <f t="shared" si="2"/>
        <v>0</v>
      </c>
    </row>
    <row r="14" spans="2:11" x14ac:dyDescent="0.25">
      <c r="B14" s="7" t="s">
        <v>42</v>
      </c>
      <c r="C14" s="94">
        <v>0.1</v>
      </c>
      <c r="E14" s="35" t="s">
        <v>41</v>
      </c>
      <c r="F14" s="40">
        <f>PRODUCT((G5-C42),(100-C9)/100,4)</f>
        <v>377.86909090909086</v>
      </c>
      <c r="G14" s="37">
        <f t="shared" si="0"/>
        <v>0</v>
      </c>
      <c r="H14" s="40">
        <f>PRODUCT(I5,4)</f>
        <v>1885.090909090909</v>
      </c>
      <c r="I14" s="38">
        <f t="shared" si="1"/>
        <v>0</v>
      </c>
      <c r="J14" s="40">
        <f>PRODUCT(K5,4)</f>
        <v>22935.272727272732</v>
      </c>
      <c r="K14" s="38">
        <f t="shared" si="2"/>
        <v>0</v>
      </c>
    </row>
    <row r="15" spans="2:11" x14ac:dyDescent="0.25">
      <c r="B15" s="4" t="s">
        <v>38</v>
      </c>
      <c r="C15" s="92">
        <v>0.2</v>
      </c>
      <c r="E15" s="31" t="s">
        <v>32</v>
      </c>
      <c r="F15" s="32">
        <f>PRODUCT(G5,C17)</f>
        <v>659.78181818181815</v>
      </c>
      <c r="G15" s="33">
        <f t="shared" si="0"/>
        <v>0</v>
      </c>
      <c r="H15" s="32">
        <f>PRODUCT(I5,C17)</f>
        <v>2827.6363636363635</v>
      </c>
      <c r="I15" s="34">
        <f t="shared" si="1"/>
        <v>0</v>
      </c>
      <c r="J15" s="32">
        <f>PRODUCT(K5,C17)</f>
        <v>34402.909090909096</v>
      </c>
      <c r="K15" s="34">
        <f t="shared" si="2"/>
        <v>0</v>
      </c>
    </row>
    <row r="16" spans="2:11" ht="15.75" thickBot="1" x14ac:dyDescent="0.3">
      <c r="B16" s="7" t="s">
        <v>39</v>
      </c>
      <c r="C16" s="94">
        <v>0.01</v>
      </c>
      <c r="E16" s="41" t="s">
        <v>33</v>
      </c>
      <c r="F16" s="42">
        <f>PRODUCT(G5,C18)</f>
        <v>219.92727272727271</v>
      </c>
      <c r="G16" s="43">
        <f t="shared" si="0"/>
        <v>0</v>
      </c>
      <c r="H16" s="42">
        <f>PRODUCT(I5,C18)</f>
        <v>942.5454545454545</v>
      </c>
      <c r="I16" s="44">
        <f t="shared" si="1"/>
        <v>0</v>
      </c>
      <c r="J16" s="42">
        <f>PRODUCT(K5,C18)</f>
        <v>11467.636363636366</v>
      </c>
      <c r="K16" s="44">
        <f t="shared" si="2"/>
        <v>0</v>
      </c>
    </row>
    <row r="17" spans="2:11" ht="15.75" thickBot="1" x14ac:dyDescent="0.3">
      <c r="B17" s="4" t="s">
        <v>17</v>
      </c>
      <c r="C17" s="92">
        <v>6</v>
      </c>
      <c r="D17" s="2"/>
      <c r="E17" s="45" t="s">
        <v>37</v>
      </c>
      <c r="F17" s="46"/>
      <c r="G17" s="47">
        <f>SUM(G7:G16)</f>
        <v>83970.909090909074</v>
      </c>
      <c r="H17" s="46"/>
      <c r="I17" s="47">
        <f>SUM(I7:I16)</f>
        <v>361018.18181818177</v>
      </c>
      <c r="J17" s="46"/>
      <c r="K17" s="47">
        <f>SUM(K7:K16)</f>
        <v>4379054.5454545459</v>
      </c>
    </row>
    <row r="18" spans="2:11" ht="15.75" thickBot="1" x14ac:dyDescent="0.3">
      <c r="B18" s="5" t="s">
        <v>18</v>
      </c>
      <c r="C18" s="93">
        <v>2</v>
      </c>
      <c r="E18" s="6"/>
      <c r="F18" s="24"/>
      <c r="G18" s="24"/>
      <c r="H18" s="24"/>
      <c r="I18" s="24"/>
      <c r="J18" s="24"/>
      <c r="K18" s="6"/>
    </row>
    <row r="19" spans="2:11" ht="15.75" thickBot="1" x14ac:dyDescent="0.3">
      <c r="B19" s="6"/>
      <c r="C19" s="104"/>
      <c r="E19" s="48" t="s">
        <v>48</v>
      </c>
      <c r="F19" s="49">
        <f>PRODUCT(C2,C21,7)</f>
        <v>92.399999999999991</v>
      </c>
      <c r="G19" s="50">
        <f>PRODUCT(F19,C20)</f>
        <v>1663.1999999999998</v>
      </c>
      <c r="H19" s="49">
        <f>PRODUCT(C2,C21,30)</f>
        <v>396</v>
      </c>
      <c r="I19" s="50">
        <f>PRODUCT(H19,C20)</f>
        <v>7128</v>
      </c>
      <c r="J19" s="49">
        <f>PRODUCT(C2,C21,365)</f>
        <v>4818</v>
      </c>
      <c r="K19" s="50">
        <f>PRODUCT(J19,C20)</f>
        <v>86724</v>
      </c>
    </row>
    <row r="20" spans="2:11" x14ac:dyDescent="0.25">
      <c r="B20" s="3" t="s">
        <v>0</v>
      </c>
      <c r="C20" s="95">
        <v>18</v>
      </c>
      <c r="E20" s="51" t="s">
        <v>47</v>
      </c>
      <c r="F20" s="52">
        <f>PRODUCT(C3,C21,7)</f>
        <v>9.24</v>
      </c>
      <c r="G20" s="53">
        <f>PRODUCT(F20,C20)</f>
        <v>166.32</v>
      </c>
      <c r="H20" s="52">
        <f>PRODUCT(C3,C21,30)</f>
        <v>39.6</v>
      </c>
      <c r="I20" s="53">
        <f>PRODUCT(H20,C20)</f>
        <v>712.80000000000007</v>
      </c>
      <c r="J20" s="52">
        <f>PRODUCT(C3,C21,365)</f>
        <v>481.8</v>
      </c>
      <c r="K20" s="53">
        <f>PRODUCT(J20,C20)</f>
        <v>8672.4</v>
      </c>
    </row>
    <row r="21" spans="2:11" x14ac:dyDescent="0.25">
      <c r="B21" s="4" t="s">
        <v>5</v>
      </c>
      <c r="C21" s="92">
        <v>0.11</v>
      </c>
      <c r="E21" s="54" t="s">
        <v>49</v>
      </c>
      <c r="F21" s="55">
        <f>PRODUCT(C4,C21,7)</f>
        <v>15.400000000000002</v>
      </c>
      <c r="G21" s="56">
        <f>PRODUCT(F21,C20)</f>
        <v>277.20000000000005</v>
      </c>
      <c r="H21" s="55">
        <f>PRODUCT(C4,C21,30)</f>
        <v>66</v>
      </c>
      <c r="I21" s="56">
        <f>PRODUCT(H21,C20)</f>
        <v>1188</v>
      </c>
      <c r="J21" s="55">
        <f>PRODUCT(C4,C21,365)</f>
        <v>803.00000000000011</v>
      </c>
      <c r="K21" s="56">
        <f>PRODUCT(J21,C20)</f>
        <v>14454.000000000002</v>
      </c>
    </row>
    <row r="22" spans="2:11" x14ac:dyDescent="0.25">
      <c r="B22" s="7" t="s">
        <v>10</v>
      </c>
      <c r="C22" s="94">
        <v>3.5</v>
      </c>
      <c r="E22" s="51" t="s">
        <v>50</v>
      </c>
      <c r="F22" s="52">
        <f>PRODUCT(C11,G5,C22)</f>
        <v>962.18181818181802</v>
      </c>
      <c r="G22" s="53">
        <f>PRODUCT(F22,C20)</f>
        <v>17319.272727272724</v>
      </c>
      <c r="H22" s="52">
        <f>PRODUCT(C11,I5,C22)</f>
        <v>4123.6363636363631</v>
      </c>
      <c r="I22" s="53">
        <f>PRODUCT(H22,C20)</f>
        <v>74225.45454545453</v>
      </c>
      <c r="J22" s="52">
        <f>PRODUCT(C11,K5,C22)</f>
        <v>50170.909090909103</v>
      </c>
      <c r="K22" s="53">
        <f>PRODUCT(J22,C20)</f>
        <v>903076.36363636388</v>
      </c>
    </row>
    <row r="23" spans="2:11" ht="15.75" thickBot="1" x14ac:dyDescent="0.3">
      <c r="B23" s="8" t="s">
        <v>1</v>
      </c>
      <c r="C23" s="96">
        <v>5</v>
      </c>
      <c r="D23" s="2"/>
      <c r="E23" s="54" t="s">
        <v>52</v>
      </c>
      <c r="F23" s="55">
        <f>SUM(F19:F22)</f>
        <v>1079.221818181818</v>
      </c>
      <c r="G23" s="56">
        <f>PRODUCT(F23,C20)</f>
        <v>19425.992727272722</v>
      </c>
      <c r="H23" s="55">
        <f>SUM(H19:H22)</f>
        <v>4625.2363636363634</v>
      </c>
      <c r="I23" s="56">
        <f>PRODUCT(H23,C20)</f>
        <v>83254.254545454547</v>
      </c>
      <c r="J23" s="55">
        <f>SUM(J19:J22)</f>
        <v>56273.709090909106</v>
      </c>
      <c r="K23" s="56">
        <f>PRODUCT(J23,C20)</f>
        <v>1012926.7636363639</v>
      </c>
    </row>
    <row r="24" spans="2:11" ht="15.75" thickBot="1" x14ac:dyDescent="0.3">
      <c r="B24" s="6"/>
      <c r="C24" s="104"/>
      <c r="E24" s="57" t="s">
        <v>51</v>
      </c>
      <c r="F24" s="58">
        <f>PRODUCT(F23,C23/100)</f>
        <v>53.961090909090899</v>
      </c>
      <c r="G24" s="59">
        <f>PRODUCT(F24,C20)</f>
        <v>971.29963636363618</v>
      </c>
      <c r="H24" s="58">
        <f>PRODUCT(H23,C23/100)</f>
        <v>231.26181818181817</v>
      </c>
      <c r="I24" s="59">
        <f>PRODUCT(H24,C20)</f>
        <v>4162.7127272727266</v>
      </c>
      <c r="J24" s="58">
        <f>PRODUCT(J23,C23/100)</f>
        <v>2813.6854545454553</v>
      </c>
      <c r="K24" s="59">
        <f>PRODUCT(J24,C20)</f>
        <v>50646.338181818195</v>
      </c>
    </row>
    <row r="25" spans="2:11" ht="15.75" thickBot="1" x14ac:dyDescent="0.3">
      <c r="B25" s="3" t="s">
        <v>57</v>
      </c>
      <c r="C25" s="91">
        <v>0.01</v>
      </c>
      <c r="D25" s="2"/>
      <c r="E25" s="60" t="s">
        <v>53</v>
      </c>
      <c r="F25" s="61">
        <f>SUM(F19:F24)</f>
        <v>2212.4047272727266</v>
      </c>
      <c r="G25" s="62">
        <f>PRODUCT(F25,C20)</f>
        <v>39823.285090909078</v>
      </c>
      <c r="H25" s="61">
        <f>SUM(H19:H24)</f>
        <v>9481.7345454545448</v>
      </c>
      <c r="I25" s="62">
        <f>PRODUCT(H25,C20)</f>
        <v>170671.2218181818</v>
      </c>
      <c r="J25" s="61">
        <f>SUM(J19:J24)</f>
        <v>115361.10363636367</v>
      </c>
      <c r="K25" s="62">
        <f>PRODUCT(J25,C20)</f>
        <v>2076499.8654545459</v>
      </c>
    </row>
    <row r="26" spans="2:11" x14ac:dyDescent="0.25">
      <c r="B26" s="4" t="s">
        <v>58</v>
      </c>
      <c r="C26" s="92">
        <v>6</v>
      </c>
      <c r="D26" s="2"/>
      <c r="E26" s="48" t="s">
        <v>55</v>
      </c>
      <c r="F26" s="49">
        <f>PRODUCT(C25,C2,7)</f>
        <v>8.4</v>
      </c>
      <c r="G26" s="50">
        <f>PRODUCT(F26,C27)</f>
        <v>840</v>
      </c>
      <c r="H26" s="49">
        <f>PRODUCT(C25,C2,30)</f>
        <v>36</v>
      </c>
      <c r="I26" s="50">
        <f>PRODUCT(H26,C27)</f>
        <v>3600</v>
      </c>
      <c r="J26" s="49">
        <f>PRODUCT(C25,C2,365)</f>
        <v>438</v>
      </c>
      <c r="K26" s="50">
        <f>PRODUCT(J26,C27)</f>
        <v>43800</v>
      </c>
    </row>
    <row r="27" spans="2:11" ht="15.75" thickBot="1" x14ac:dyDescent="0.3">
      <c r="B27" s="5" t="s">
        <v>22</v>
      </c>
      <c r="C27" s="97">
        <v>100</v>
      </c>
      <c r="D27" s="2"/>
      <c r="E27" s="57" t="s">
        <v>56</v>
      </c>
      <c r="F27" s="58">
        <f>PRODUCT((G5-(G5*C9/100))/C26)</f>
        <v>16.494545454545452</v>
      </c>
      <c r="G27" s="59">
        <f>PRODUCT(F27,C27)</f>
        <v>1649.4545454545453</v>
      </c>
      <c r="H27" s="58">
        <f>PRODUCT((I5-(I5*C9/100))/C26)</f>
        <v>70.690909090909088</v>
      </c>
      <c r="I27" s="59">
        <f>PRODUCT(H27,C27)</f>
        <v>7069.090909090909</v>
      </c>
      <c r="J27" s="58">
        <f>PRODUCT((K5-(K5*C9/100))/C26)</f>
        <v>860.07272727272755</v>
      </c>
      <c r="K27" s="59">
        <f>PRODUCT(J27,C27)</f>
        <v>86007.27272727275</v>
      </c>
    </row>
    <row r="28" spans="2:11" ht="15.75" thickBot="1" x14ac:dyDescent="0.3">
      <c r="B28" s="9"/>
      <c r="C28" s="105"/>
      <c r="D28" s="2"/>
      <c r="E28" s="60" t="s">
        <v>59</v>
      </c>
      <c r="F28" s="61">
        <f>SUM(F26:F27)</f>
        <v>24.894545454545451</v>
      </c>
      <c r="G28" s="62">
        <f>PRODUCT(F28,C27)</f>
        <v>2489.454545454545</v>
      </c>
      <c r="H28" s="61">
        <f>SUM(H26:H27)</f>
        <v>106.69090909090909</v>
      </c>
      <c r="I28" s="62">
        <f>PRODUCT(H28,C27)</f>
        <v>10669.090909090908</v>
      </c>
      <c r="J28" s="61">
        <f>SUM(J26:J27)</f>
        <v>1298.0727272727277</v>
      </c>
      <c r="K28" s="62">
        <f>PRODUCT(J28,C27)</f>
        <v>129807.27272727276</v>
      </c>
    </row>
    <row r="29" spans="2:11" ht="15.75" thickBot="1" x14ac:dyDescent="0.3">
      <c r="B29" s="10" t="s">
        <v>60</v>
      </c>
      <c r="C29" s="98">
        <v>0</v>
      </c>
      <c r="D29" s="2"/>
      <c r="E29" s="63" t="s">
        <v>54</v>
      </c>
      <c r="F29" s="64">
        <f>PRODUCT(C29,24,7)</f>
        <v>0</v>
      </c>
      <c r="G29" s="65">
        <f>PRODUCT(F29,C30)</f>
        <v>0</v>
      </c>
      <c r="H29" s="64">
        <f>PRODUCT(C29,24,30)</f>
        <v>0</v>
      </c>
      <c r="I29" s="65">
        <f>PRODUCT(H29,C30)</f>
        <v>0</v>
      </c>
      <c r="J29" s="64">
        <f>PRODUCT(C29,24,365)</f>
        <v>0</v>
      </c>
      <c r="K29" s="65">
        <f>PRODUCT(J29,C30)</f>
        <v>0</v>
      </c>
    </row>
    <row r="30" spans="2:11" ht="15.75" thickBot="1" x14ac:dyDescent="0.3">
      <c r="B30" s="11" t="s">
        <v>21</v>
      </c>
      <c r="C30" s="99">
        <v>5</v>
      </c>
      <c r="D30" s="2"/>
      <c r="E30" s="66" t="s">
        <v>61</v>
      </c>
      <c r="F30" s="67"/>
      <c r="G30" s="68">
        <f>SUM(G25,G28,G29)</f>
        <v>42312.739636363622</v>
      </c>
      <c r="H30" s="67"/>
      <c r="I30" s="68">
        <f>SUM(I25,I28,I29)</f>
        <v>181340.31272727271</v>
      </c>
      <c r="J30" s="67"/>
      <c r="K30" s="68">
        <f>SUM(K25,K28,K29)</f>
        <v>2206307.1381818186</v>
      </c>
    </row>
    <row r="31" spans="2:11" ht="15.75" thickBot="1" x14ac:dyDescent="0.3">
      <c r="B31" s="6"/>
      <c r="C31" s="105"/>
      <c r="D31" s="2"/>
      <c r="E31" s="69"/>
      <c r="F31" s="70"/>
      <c r="G31" s="71"/>
      <c r="H31" s="70"/>
      <c r="I31" s="71"/>
      <c r="J31" s="70"/>
      <c r="K31" s="71"/>
    </row>
    <row r="32" spans="2:11" x14ac:dyDescent="0.25">
      <c r="B32" s="3" t="s">
        <v>70</v>
      </c>
      <c r="C32" s="95">
        <v>500</v>
      </c>
      <c r="E32" s="69"/>
      <c r="F32" s="70"/>
      <c r="G32" s="71"/>
      <c r="H32" s="70"/>
      <c r="I32" s="71"/>
      <c r="J32" s="70"/>
      <c r="K32" s="71"/>
    </row>
    <row r="33" spans="2:11" x14ac:dyDescent="0.25">
      <c r="B33" s="12" t="s">
        <v>13</v>
      </c>
      <c r="C33" s="100">
        <v>500</v>
      </c>
      <c r="E33" s="69"/>
      <c r="F33" s="70"/>
      <c r="G33" s="71"/>
      <c r="H33" s="70"/>
      <c r="I33" s="71"/>
      <c r="J33" s="70"/>
      <c r="K33" s="71"/>
    </row>
    <row r="34" spans="2:11" x14ac:dyDescent="0.25">
      <c r="B34" s="7" t="s">
        <v>16</v>
      </c>
      <c r="C34" s="101">
        <v>0</v>
      </c>
      <c r="E34" s="69"/>
      <c r="F34" s="70"/>
      <c r="G34" s="71"/>
      <c r="H34" s="70"/>
      <c r="I34" s="71"/>
      <c r="J34" s="70"/>
      <c r="K34" s="71"/>
    </row>
    <row r="35" spans="2:11" ht="15.75" thickBot="1" x14ac:dyDescent="0.3">
      <c r="B35" s="4" t="s">
        <v>44</v>
      </c>
      <c r="C35" s="102">
        <v>0</v>
      </c>
      <c r="E35" s="6"/>
      <c r="F35" s="6"/>
      <c r="G35" s="6"/>
      <c r="H35" s="6"/>
      <c r="I35" s="6"/>
      <c r="J35" s="6"/>
      <c r="K35" s="6"/>
    </row>
    <row r="36" spans="2:11" ht="15.75" thickBot="1" x14ac:dyDescent="0.3">
      <c r="B36" s="7" t="s">
        <v>45</v>
      </c>
      <c r="C36" s="101">
        <v>0</v>
      </c>
      <c r="E36" s="72" t="s">
        <v>63</v>
      </c>
      <c r="F36" s="6"/>
      <c r="G36" s="6"/>
      <c r="H36" s="6"/>
      <c r="I36" s="6"/>
      <c r="J36" s="6"/>
      <c r="K36" s="6"/>
    </row>
    <row r="37" spans="2:11" x14ac:dyDescent="0.25">
      <c r="B37" s="4" t="s">
        <v>46</v>
      </c>
      <c r="C37" s="102">
        <v>0</v>
      </c>
      <c r="E37" s="73" t="s">
        <v>62</v>
      </c>
      <c r="F37" s="74"/>
      <c r="G37" s="75">
        <f>SUM(G17,-G30)</f>
        <v>41658.169454545452</v>
      </c>
      <c r="H37" s="76"/>
      <c r="I37" s="77">
        <f>SUM(I17,-I30)</f>
        <v>179677.86909090905</v>
      </c>
      <c r="J37" s="76"/>
      <c r="K37" s="77">
        <f>SUM(K17,-K30)</f>
        <v>2172747.4072727272</v>
      </c>
    </row>
    <row r="38" spans="2:11" x14ac:dyDescent="0.25">
      <c r="B38" s="7" t="s">
        <v>14</v>
      </c>
      <c r="C38" s="101">
        <v>0</v>
      </c>
      <c r="E38" s="78" t="s">
        <v>64</v>
      </c>
      <c r="F38" s="79"/>
      <c r="G38" s="80">
        <f>PRODUCT(G37/C2)</f>
        <v>347.1514121212121</v>
      </c>
      <c r="H38" s="81"/>
      <c r="I38" s="82">
        <f>PRODUCT(I37/C2)</f>
        <v>1497.3155757575755</v>
      </c>
      <c r="J38" s="81"/>
      <c r="K38" s="82">
        <f>PRODUCT(K37/C2)</f>
        <v>18106.228393939393</v>
      </c>
    </row>
    <row r="39" spans="2:11" ht="15.75" thickBot="1" x14ac:dyDescent="0.3">
      <c r="B39" s="4" t="s">
        <v>40</v>
      </c>
      <c r="C39" s="102">
        <v>0</v>
      </c>
      <c r="E39" s="83" t="s">
        <v>72</v>
      </c>
      <c r="F39" s="84"/>
      <c r="G39" s="85">
        <f>PRODUCT(G37/(G5-C42))</f>
        <v>396.88191927940414</v>
      </c>
      <c r="H39" s="86"/>
      <c r="I39" s="87">
        <f>PRODUCT(I37/(I5-C42))</f>
        <v>385.34930005849088</v>
      </c>
      <c r="J39" s="86"/>
      <c r="K39" s="87">
        <f>PRODUCT(K37/(K5-C42))</f>
        <v>379.26625323325442</v>
      </c>
    </row>
    <row r="40" spans="2:11" ht="15.75" thickBot="1" x14ac:dyDescent="0.3">
      <c r="B40" s="7" t="s">
        <v>19</v>
      </c>
      <c r="C40" s="101">
        <v>0</v>
      </c>
      <c r="E40" s="9"/>
      <c r="F40" s="9"/>
      <c r="G40" s="9"/>
      <c r="H40" s="9"/>
      <c r="I40" s="9"/>
      <c r="J40" s="9"/>
      <c r="K40" s="9"/>
    </row>
    <row r="41" spans="2:11" x14ac:dyDescent="0.25">
      <c r="B41" s="13" t="s">
        <v>20</v>
      </c>
      <c r="C41" s="103">
        <v>0</v>
      </c>
      <c r="E41" s="88" t="s">
        <v>65</v>
      </c>
      <c r="F41" s="89"/>
      <c r="G41" s="90">
        <f>PRODUCT((G30-G27)/(G5*C11))</f>
        <v>147.91538888888886</v>
      </c>
      <c r="H41" s="89"/>
      <c r="I41" s="90">
        <f>PRODUCT((I30-I27)/(I5*C11))</f>
        <v>147.91538888888888</v>
      </c>
      <c r="J41" s="89"/>
      <c r="K41" s="90">
        <f>PRODUCT((K30-K27)/(K5*C11))</f>
        <v>147.91538888888888</v>
      </c>
    </row>
    <row r="42" spans="2:11" ht="15.75" thickBot="1" x14ac:dyDescent="0.3">
      <c r="B42" s="5" t="s">
        <v>67</v>
      </c>
      <c r="C42" s="93">
        <v>5</v>
      </c>
      <c r="E42" s="83" t="s">
        <v>66</v>
      </c>
      <c r="F42" s="84"/>
      <c r="G42" s="85">
        <f>PRODUCT(G30/(G5*C11*C12/100))</f>
        <v>256.52564814814809</v>
      </c>
      <c r="H42" s="84"/>
      <c r="I42" s="85">
        <f>PRODUCT(I30/(I5*C11*C12/100))</f>
        <v>256.52564814814815</v>
      </c>
      <c r="J42" s="84"/>
      <c r="K42" s="85">
        <f>PRODUCT(K30/(K5*C11*C12/100))</f>
        <v>256.52564814814815</v>
      </c>
    </row>
    <row r="51" spans="2:2" x14ac:dyDescent="0.25">
      <c r="B51" t="s">
        <v>68</v>
      </c>
    </row>
  </sheetData>
  <sheetProtection password="D24B" sheet="1" objects="1" scenarios="1" selectLockedCells="1"/>
  <mergeCells count="3">
    <mergeCell ref="F2:G2"/>
    <mergeCell ref="H2:I2"/>
    <mergeCell ref="J2:K2"/>
  </mergeCells>
  <pageMargins left="0.7" right="0.7" top="0.75" bottom="0.75" header="0.3" footer="0.3"/>
  <pageSetup paperSize="9" scale="42" orientation="portrait" verticalDpi="0"/>
  <ignoredErrors>
    <ignoredError sqref="G13:G14 I13:I14 I23 G23 G25 I25 G28 I28 G29 I29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2015-07-30T11:38:09Z</dcterms:modified>
</cp:coreProperties>
</file>