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ограмма рационов для птицы\"/>
    </mc:Choice>
  </mc:AlternateContent>
  <bookViews>
    <workbookView xWindow="180" yWindow="450" windowWidth="15015" windowHeight="7500"/>
  </bookViews>
  <sheets>
    <sheet name="Птица" sheetId="6" r:id="rId1"/>
  </sheets>
  <calcPr calcId="152511"/>
</workbook>
</file>

<file path=xl/calcChain.xml><?xml version="1.0" encoding="utf-8"?>
<calcChain xmlns="http://schemas.openxmlformats.org/spreadsheetml/2006/main">
  <c r="BH3" i="6" l="1"/>
  <c r="BH4" i="6"/>
  <c r="BH5" i="6"/>
  <c r="BH6" i="6"/>
  <c r="BH7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" i="6"/>
  <c r="R27" i="6"/>
  <c r="C112" i="6"/>
  <c r="D112" i="6"/>
  <c r="E112" i="6"/>
  <c r="F112" i="6"/>
  <c r="G112" i="6"/>
  <c r="H112" i="6"/>
  <c r="I112" i="6"/>
  <c r="B112" i="6"/>
  <c r="AR18" i="6"/>
  <c r="AT18" i="6"/>
  <c r="AV18" i="6"/>
  <c r="BB18" i="6"/>
  <c r="AP18" i="6"/>
  <c r="BD12" i="6"/>
  <c r="BD13" i="6"/>
  <c r="BD14" i="6"/>
  <c r="BD15" i="6"/>
  <c r="BD16" i="6"/>
  <c r="BD11" i="6"/>
  <c r="BD1" i="6"/>
  <c r="BA1" i="6"/>
  <c r="AX1" i="6"/>
  <c r="AT1" i="6"/>
  <c r="AW5" i="6"/>
  <c r="AW3" i="6"/>
  <c r="AW18" i="6" s="1"/>
  <c r="AW2" i="6"/>
  <c r="BB3" i="6"/>
  <c r="AV3" i="6"/>
  <c r="AU3" i="6"/>
  <c r="AU18" i="6" s="1"/>
  <c r="AT3" i="6"/>
  <c r="AS3" i="6"/>
  <c r="AS18" i="6" s="1"/>
  <c r="AR3" i="6"/>
  <c r="AP3" i="6"/>
  <c r="AD6" i="6"/>
  <c r="AD5" i="6"/>
  <c r="AB1" i="6"/>
  <c r="AZ15" i="6"/>
  <c r="AV14" i="6"/>
  <c r="AU16" i="6"/>
  <c r="AP16" i="6"/>
  <c r="BD10" i="6"/>
  <c r="BD6" i="6"/>
  <c r="BD7" i="6"/>
  <c r="BD8" i="6"/>
  <c r="BD9" i="6"/>
  <c r="BC10" i="6"/>
  <c r="BC6" i="6"/>
  <c r="BC7" i="6"/>
  <c r="BC8" i="6"/>
  <c r="BC9" i="6"/>
  <c r="BB10" i="6"/>
  <c r="BB6" i="6"/>
  <c r="BB7" i="6"/>
  <c r="BB8" i="6"/>
  <c r="BB9" i="6"/>
  <c r="BA10" i="6"/>
  <c r="BA7" i="6"/>
  <c r="BA8" i="6"/>
  <c r="BA9" i="6"/>
  <c r="AZ10" i="6"/>
  <c r="AZ7" i="6"/>
  <c r="AZ8" i="6"/>
  <c r="AZ9" i="6"/>
  <c r="AY10" i="6"/>
  <c r="AY6" i="6"/>
  <c r="AY7" i="6"/>
  <c r="AY8" i="6"/>
  <c r="AY9" i="6"/>
  <c r="AX10" i="6"/>
  <c r="AX6" i="6"/>
  <c r="AX7" i="6"/>
  <c r="AX8" i="6"/>
  <c r="AX9" i="6"/>
  <c r="AU9" i="6"/>
  <c r="AS9" i="6"/>
  <c r="AP9" i="6"/>
  <c r="AP7" i="6"/>
  <c r="AR6" i="6"/>
  <c r="BB5" i="6"/>
  <c r="BC5" i="6"/>
  <c r="AY5" i="6"/>
  <c r="AX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5" i="6"/>
  <c r="AO4" i="6"/>
  <c r="AN5" i="6"/>
  <c r="AO3" i="6"/>
  <c r="BG2" i="6"/>
  <c r="BF2" i="6"/>
  <c r="BE2" i="6"/>
  <c r="BD2" i="6"/>
  <c r="BC2" i="6"/>
  <c r="BA2" i="6"/>
  <c r="BB2" i="6"/>
  <c r="AZ2" i="6"/>
  <c r="AY2" i="6"/>
  <c r="AX2" i="6"/>
  <c r="AO2" i="6"/>
  <c r="AN16" i="6"/>
  <c r="AN6" i="6"/>
  <c r="AN7" i="6"/>
  <c r="AN8" i="6"/>
  <c r="AN9" i="6"/>
  <c r="AN13" i="6"/>
  <c r="AN14" i="6"/>
  <c r="AN15" i="6"/>
  <c r="AN3" i="6"/>
  <c r="Y3" i="6"/>
  <c r="AX3" i="6" s="1"/>
  <c r="AX18" i="6" s="1"/>
  <c r="I6" i="6"/>
  <c r="AO6" i="6" s="1"/>
  <c r="I7" i="6"/>
  <c r="AO7" i="6" s="1"/>
  <c r="I8" i="6"/>
  <c r="AO8" i="6" s="1"/>
  <c r="I9" i="6"/>
  <c r="AO9" i="6" s="1"/>
  <c r="I10" i="6"/>
  <c r="I11" i="6"/>
  <c r="I12" i="6"/>
  <c r="I13" i="6"/>
  <c r="I14" i="6"/>
  <c r="I15" i="6"/>
  <c r="I16" i="6"/>
  <c r="AO10" i="6" s="1"/>
  <c r="I17" i="6"/>
  <c r="I18" i="6"/>
  <c r="I19" i="6"/>
  <c r="AO11" i="6" s="1"/>
  <c r="I20" i="6"/>
  <c r="AO12" i="6" s="1"/>
  <c r="I21" i="6"/>
  <c r="AO13" i="6" s="1"/>
  <c r="I22" i="6"/>
  <c r="AO14" i="6" s="1"/>
  <c r="I23" i="6"/>
  <c r="AO15" i="6" s="1"/>
  <c r="I24" i="6"/>
  <c r="AO16" i="6" s="1"/>
  <c r="I5" i="6"/>
  <c r="AO5" i="6" s="1"/>
  <c r="E76" i="6"/>
  <c r="F76" i="6"/>
  <c r="J2" i="6"/>
  <c r="AP2" i="6" s="1"/>
  <c r="K2" i="6"/>
  <c r="AQ2" i="6" s="1"/>
  <c r="L2" i="6"/>
  <c r="AR2" i="6" s="1"/>
  <c r="M2" i="6"/>
  <c r="N2" i="6"/>
  <c r="O2" i="6"/>
  <c r="P2" i="6"/>
  <c r="Q2" i="6"/>
  <c r="AS2" i="6" s="1"/>
  <c r="R2" i="6"/>
  <c r="AT2" i="6" s="1"/>
  <c r="S2" i="6"/>
  <c r="AU2" i="6" s="1"/>
  <c r="T2" i="6"/>
  <c r="U2" i="6"/>
  <c r="V2" i="6"/>
  <c r="W2" i="6"/>
  <c r="AV2" i="6" s="1"/>
  <c r="X2" i="6"/>
  <c r="Z3" i="6"/>
  <c r="AY3" i="6" s="1"/>
  <c r="AY18" i="6" s="1"/>
  <c r="AB3" i="6"/>
  <c r="AC3" i="6"/>
  <c r="AC6" i="6" s="1"/>
  <c r="BA6" i="6" s="1"/>
  <c r="AE3" i="6"/>
  <c r="BC3" i="6" s="1"/>
  <c r="BC18" i="6" s="1"/>
  <c r="AG3" i="6"/>
  <c r="BD3" i="6" s="1"/>
  <c r="BD18" i="6" s="1"/>
  <c r="AI5" i="6"/>
  <c r="J5" i="6"/>
  <c r="AP5" i="6" s="1"/>
  <c r="L5" i="6"/>
  <c r="AR5" i="6" s="1"/>
  <c r="M5" i="6"/>
  <c r="N5" i="6"/>
  <c r="O5" i="6"/>
  <c r="P5" i="6"/>
  <c r="Q5" i="6"/>
  <c r="AS5" i="6" s="1"/>
  <c r="R5" i="6"/>
  <c r="AT5" i="6" s="1"/>
  <c r="S5" i="6"/>
  <c r="AU5" i="6" s="1"/>
  <c r="T5" i="6"/>
  <c r="U5" i="6"/>
  <c r="V5" i="6"/>
  <c r="W5" i="6"/>
  <c r="AV5" i="6" s="1"/>
  <c r="X5" i="6"/>
  <c r="AF5" i="6"/>
  <c r="AI6" i="6"/>
  <c r="J6" i="6"/>
  <c r="AP6" i="6" s="1"/>
  <c r="L6" i="6"/>
  <c r="M6" i="6"/>
  <c r="N6" i="6"/>
  <c r="O6" i="6"/>
  <c r="P6" i="6"/>
  <c r="Q6" i="6"/>
  <c r="AS6" i="6" s="1"/>
  <c r="R6" i="6"/>
  <c r="AT6" i="6" s="1"/>
  <c r="S6" i="6"/>
  <c r="AU6" i="6" s="1"/>
  <c r="T6" i="6"/>
  <c r="U6" i="6"/>
  <c r="V6" i="6"/>
  <c r="W6" i="6"/>
  <c r="AV6" i="6" s="1"/>
  <c r="X6" i="6"/>
  <c r="AW6" i="6" s="1"/>
  <c r="AI7" i="6"/>
  <c r="J7" i="6"/>
  <c r="L7" i="6"/>
  <c r="AR7" i="6" s="1"/>
  <c r="N7" i="6"/>
  <c r="O7" i="6"/>
  <c r="P7" i="6"/>
  <c r="Q7" i="6"/>
  <c r="AS7" i="6" s="1"/>
  <c r="R7" i="6"/>
  <c r="AT7" i="6" s="1"/>
  <c r="S7" i="6"/>
  <c r="AU7" i="6" s="1"/>
  <c r="T7" i="6"/>
  <c r="U7" i="6"/>
  <c r="V7" i="6"/>
  <c r="W7" i="6"/>
  <c r="AV7" i="6" s="1"/>
  <c r="X7" i="6"/>
  <c r="AW7" i="6" s="1"/>
  <c r="AI8" i="6"/>
  <c r="J8" i="6"/>
  <c r="AP8" i="6" s="1"/>
  <c r="L8" i="6"/>
  <c r="AR8" i="6" s="1"/>
  <c r="N8" i="6"/>
  <c r="O8" i="6"/>
  <c r="P8" i="6"/>
  <c r="Q8" i="6"/>
  <c r="AS8" i="6" s="1"/>
  <c r="R8" i="6"/>
  <c r="AT8" i="6" s="1"/>
  <c r="S8" i="6"/>
  <c r="AU8" i="6" s="1"/>
  <c r="T8" i="6"/>
  <c r="U8" i="6"/>
  <c r="V8" i="6"/>
  <c r="W8" i="6"/>
  <c r="AV8" i="6" s="1"/>
  <c r="X8" i="6"/>
  <c r="AW8" i="6" s="1"/>
  <c r="AI9" i="6"/>
  <c r="J9" i="6"/>
  <c r="L9" i="6"/>
  <c r="AR9" i="6" s="1"/>
  <c r="M9" i="6"/>
  <c r="N9" i="6"/>
  <c r="O9" i="6"/>
  <c r="P9" i="6"/>
  <c r="Q9" i="6"/>
  <c r="R9" i="6"/>
  <c r="AT9" i="6" s="1"/>
  <c r="S9" i="6"/>
  <c r="T9" i="6"/>
  <c r="U9" i="6"/>
  <c r="V9" i="6"/>
  <c r="W9" i="6"/>
  <c r="AV9" i="6" s="1"/>
  <c r="X9" i="6"/>
  <c r="AW9" i="6" s="1"/>
  <c r="AI10" i="6"/>
  <c r="J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AI11" i="6"/>
  <c r="J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AI12" i="6"/>
  <c r="J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AI13" i="6"/>
  <c r="J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AI14" i="6"/>
  <c r="J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AI15" i="6"/>
  <c r="J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AI16" i="6"/>
  <c r="J16" i="6"/>
  <c r="AP10" i="6" s="1"/>
  <c r="L16" i="6"/>
  <c r="AR10" i="6" s="1"/>
  <c r="M16" i="6"/>
  <c r="N16" i="6"/>
  <c r="O16" i="6"/>
  <c r="P16" i="6"/>
  <c r="Q16" i="6"/>
  <c r="AS10" i="6" s="1"/>
  <c r="R16" i="6"/>
  <c r="AT10" i="6" s="1"/>
  <c r="S16" i="6"/>
  <c r="AU10" i="6" s="1"/>
  <c r="T16" i="6"/>
  <c r="U16" i="6"/>
  <c r="V16" i="6"/>
  <c r="W16" i="6"/>
  <c r="AV10" i="6" s="1"/>
  <c r="X16" i="6"/>
  <c r="AW10" i="6" s="1"/>
  <c r="AI17" i="6"/>
  <c r="J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AI18" i="6"/>
  <c r="J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AI19" i="6"/>
  <c r="J19" i="6"/>
  <c r="AP11" i="6" s="1"/>
  <c r="L19" i="6"/>
  <c r="AR11" i="6" s="1"/>
  <c r="M19" i="6"/>
  <c r="AS11" i="6" s="1"/>
  <c r="N19" i="6"/>
  <c r="AT11" i="6" s="1"/>
  <c r="O19" i="6"/>
  <c r="AU11" i="6" s="1"/>
  <c r="P19" i="6"/>
  <c r="AV11" i="6" s="1"/>
  <c r="Q19" i="6"/>
  <c r="AX11" i="6" s="1"/>
  <c r="R19" i="6"/>
  <c r="AY11" i="6" s="1"/>
  <c r="S19" i="6"/>
  <c r="AZ11" i="6" s="1"/>
  <c r="T19" i="6"/>
  <c r="BA11" i="6" s="1"/>
  <c r="U19" i="6"/>
  <c r="BB11" i="6" s="1"/>
  <c r="V19" i="6"/>
  <c r="BC11" i="6" s="1"/>
  <c r="W19" i="6"/>
  <c r="X19" i="6"/>
  <c r="AW11" i="6" s="1"/>
  <c r="J20" i="6"/>
  <c r="AP12" i="6" s="1"/>
  <c r="L20" i="6"/>
  <c r="AR12" i="6" s="1"/>
  <c r="M20" i="6"/>
  <c r="AS12" i="6" s="1"/>
  <c r="N20" i="6"/>
  <c r="AT12" i="6" s="1"/>
  <c r="O20" i="6"/>
  <c r="AU12" i="6" s="1"/>
  <c r="P20" i="6"/>
  <c r="AV12" i="6" s="1"/>
  <c r="Q20" i="6"/>
  <c r="AX12" i="6" s="1"/>
  <c r="R20" i="6"/>
  <c r="AY12" i="6" s="1"/>
  <c r="S20" i="6"/>
  <c r="AZ12" i="6" s="1"/>
  <c r="T20" i="6"/>
  <c r="BA12" i="6" s="1"/>
  <c r="U20" i="6"/>
  <c r="BB12" i="6" s="1"/>
  <c r="V20" i="6"/>
  <c r="BC12" i="6" s="1"/>
  <c r="W20" i="6"/>
  <c r="X20" i="6"/>
  <c r="AW12" i="6" s="1"/>
  <c r="AI20" i="6"/>
  <c r="J21" i="6"/>
  <c r="AP13" i="6" s="1"/>
  <c r="L21" i="6"/>
  <c r="AR13" i="6" s="1"/>
  <c r="M21" i="6"/>
  <c r="AS13" i="6" s="1"/>
  <c r="N21" i="6"/>
  <c r="AT13" i="6" s="1"/>
  <c r="O21" i="6"/>
  <c r="AU13" i="6" s="1"/>
  <c r="P21" i="6"/>
  <c r="AV13" i="6" s="1"/>
  <c r="Q21" i="6"/>
  <c r="AX13" i="6" s="1"/>
  <c r="R21" i="6"/>
  <c r="AY13" i="6" s="1"/>
  <c r="S21" i="6"/>
  <c r="AZ13" i="6" s="1"/>
  <c r="T21" i="6"/>
  <c r="BA13" i="6" s="1"/>
  <c r="U21" i="6"/>
  <c r="BB13" i="6" s="1"/>
  <c r="V21" i="6"/>
  <c r="BC13" i="6" s="1"/>
  <c r="W21" i="6"/>
  <c r="X21" i="6"/>
  <c r="AW13" i="6" s="1"/>
  <c r="AI21" i="6"/>
  <c r="AI22" i="6"/>
  <c r="J22" i="6"/>
  <c r="AP14" i="6" s="1"/>
  <c r="L22" i="6"/>
  <c r="AR14" i="6" s="1"/>
  <c r="M22" i="6"/>
  <c r="AS14" i="6" s="1"/>
  <c r="N22" i="6"/>
  <c r="AT14" i="6" s="1"/>
  <c r="O22" i="6"/>
  <c r="AU14" i="6" s="1"/>
  <c r="P22" i="6"/>
  <c r="Q22" i="6"/>
  <c r="AX14" i="6" s="1"/>
  <c r="R22" i="6"/>
  <c r="AY14" i="6" s="1"/>
  <c r="S22" i="6"/>
  <c r="AZ14" i="6" s="1"/>
  <c r="T22" i="6"/>
  <c r="BA14" i="6" s="1"/>
  <c r="U22" i="6"/>
  <c r="BB14" i="6" s="1"/>
  <c r="V22" i="6"/>
  <c r="BC14" i="6" s="1"/>
  <c r="W22" i="6"/>
  <c r="X22" i="6"/>
  <c r="AW14" i="6" s="1"/>
  <c r="AI23" i="6"/>
  <c r="J23" i="6"/>
  <c r="AP15" i="6" s="1"/>
  <c r="L23" i="6"/>
  <c r="AR15" i="6" s="1"/>
  <c r="M23" i="6"/>
  <c r="AS15" i="6" s="1"/>
  <c r="N23" i="6"/>
  <c r="AT15" i="6" s="1"/>
  <c r="O23" i="6"/>
  <c r="AU15" i="6" s="1"/>
  <c r="P23" i="6"/>
  <c r="AV15" i="6" s="1"/>
  <c r="Q23" i="6"/>
  <c r="AX15" i="6" s="1"/>
  <c r="R23" i="6"/>
  <c r="AY15" i="6" s="1"/>
  <c r="S23" i="6"/>
  <c r="T23" i="6"/>
  <c r="BA15" i="6" s="1"/>
  <c r="U23" i="6"/>
  <c r="BB15" i="6" s="1"/>
  <c r="V23" i="6"/>
  <c r="BC15" i="6" s="1"/>
  <c r="W23" i="6"/>
  <c r="X23" i="6"/>
  <c r="AW15" i="6" s="1"/>
  <c r="J24" i="6"/>
  <c r="L24" i="6"/>
  <c r="AR16" i="6" s="1"/>
  <c r="M24" i="6"/>
  <c r="AS16" i="6" s="1"/>
  <c r="N24" i="6"/>
  <c r="AT16" i="6" s="1"/>
  <c r="O24" i="6"/>
  <c r="P24" i="6"/>
  <c r="AV16" i="6" s="1"/>
  <c r="Q24" i="6"/>
  <c r="AX16" i="6" s="1"/>
  <c r="R24" i="6"/>
  <c r="AY16" i="6" s="1"/>
  <c r="S24" i="6"/>
  <c r="AZ16" i="6" s="1"/>
  <c r="T24" i="6"/>
  <c r="BA16" i="6" s="1"/>
  <c r="U24" i="6"/>
  <c r="BB16" i="6" s="1"/>
  <c r="V24" i="6"/>
  <c r="BC16" i="6" s="1"/>
  <c r="W24" i="6"/>
  <c r="X24" i="6"/>
  <c r="AW16" i="6" s="1"/>
  <c r="AF24" i="6"/>
  <c r="AI24" i="6"/>
  <c r="A27" i="6"/>
  <c r="B27" i="6"/>
  <c r="C27" i="6" s="1"/>
  <c r="E27" i="6"/>
  <c r="G27" i="6"/>
  <c r="I27" i="6" s="1"/>
  <c r="K27" i="6"/>
  <c r="L27" i="6"/>
  <c r="M27" i="6" s="1"/>
  <c r="C44" i="6"/>
  <c r="H44" i="6"/>
  <c r="C45" i="6"/>
  <c r="H45" i="6"/>
  <c r="H46" i="6"/>
  <c r="I46" i="6" s="1"/>
  <c r="J46" i="6" s="1"/>
  <c r="H47" i="6"/>
  <c r="I47" i="6" s="1"/>
  <c r="J47" i="6" s="1"/>
  <c r="H48" i="6"/>
  <c r="I48" i="6"/>
  <c r="J48" i="6" s="1"/>
  <c r="E52" i="6"/>
  <c r="M7" i="6" s="1"/>
  <c r="E53" i="6"/>
  <c r="M8" i="6" s="1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BA3" i="6" l="1"/>
  <c r="BA18" i="6" s="1"/>
  <c r="I45" i="6"/>
  <c r="J45" i="6" s="1"/>
  <c r="I44" i="6"/>
  <c r="J44" i="6" s="1"/>
  <c r="O27" i="6"/>
  <c r="P27" i="6" s="1"/>
  <c r="Z21" i="6"/>
  <c r="Z20" i="6"/>
  <c r="AB5" i="6"/>
  <c r="AZ5" i="6" s="1"/>
  <c r="AZ3" i="6"/>
  <c r="AZ18" i="6" s="1"/>
  <c r="AG5" i="6"/>
  <c r="BD5" i="6" s="1"/>
  <c r="AC5" i="6"/>
  <c r="BA5" i="6" s="1"/>
  <c r="AB6" i="6"/>
  <c r="AZ6" i="6" s="1"/>
  <c r="F27" i="6"/>
  <c r="Q27" i="6" l="1"/>
  <c r="H4" i="6" s="1"/>
  <c r="K3" i="6" l="1"/>
  <c r="O1" i="6" l="1"/>
  <c r="AQ3" i="6"/>
  <c r="K5" i="6"/>
  <c r="K7" i="6"/>
  <c r="K11" i="6"/>
  <c r="AH11" i="6" s="1"/>
  <c r="AJ11" i="6" s="1"/>
  <c r="K19" i="6"/>
  <c r="K24" i="6"/>
  <c r="K14" i="6"/>
  <c r="AH14" i="6" s="1"/>
  <c r="AJ14" i="6" s="1"/>
  <c r="K21" i="6"/>
  <c r="K15" i="6"/>
  <c r="AH15" i="6" s="1"/>
  <c r="AJ15" i="6" s="1"/>
  <c r="K17" i="6"/>
  <c r="AH17" i="6" s="1"/>
  <c r="AJ17" i="6" s="1"/>
  <c r="AK17" i="6" s="1"/>
  <c r="K10" i="6"/>
  <c r="AH10" i="6" s="1"/>
  <c r="AJ10" i="6" s="1"/>
  <c r="K22" i="6"/>
  <c r="K23" i="6"/>
  <c r="K18" i="6"/>
  <c r="AH18" i="6" s="1"/>
  <c r="AJ18" i="6" s="1"/>
  <c r="AK18" i="6" s="1"/>
  <c r="K8" i="6"/>
  <c r="K16" i="6"/>
  <c r="K9" i="6"/>
  <c r="K6" i="6"/>
  <c r="K12" i="6"/>
  <c r="AH12" i="6" s="1"/>
  <c r="AJ12" i="6" s="1"/>
  <c r="K13" i="6"/>
  <c r="AH13" i="6" s="1"/>
  <c r="AJ13" i="6" s="1"/>
  <c r="K20" i="6"/>
  <c r="AI3" i="6"/>
  <c r="AH3" i="6" s="1"/>
  <c r="BE3" i="6" l="1"/>
  <c r="AQ18" i="6"/>
  <c r="BE18" i="6" s="1"/>
  <c r="AK13" i="6"/>
  <c r="BG13" i="6" s="1"/>
  <c r="BF13" i="6"/>
  <c r="AH6" i="6"/>
  <c r="AQ6" i="6"/>
  <c r="AH16" i="6"/>
  <c r="AQ10" i="6"/>
  <c r="AH22" i="6"/>
  <c r="AQ14" i="6"/>
  <c r="AH21" i="6"/>
  <c r="AQ13" i="6"/>
  <c r="AH24" i="6"/>
  <c r="AQ16" i="6"/>
  <c r="AK11" i="6"/>
  <c r="BG11" i="6" s="1"/>
  <c r="BF11" i="6"/>
  <c r="AH5" i="6"/>
  <c r="BE5" i="6" s="1"/>
  <c r="AQ5" i="6"/>
  <c r="AH20" i="6"/>
  <c r="AQ12" i="6"/>
  <c r="AK12" i="6"/>
  <c r="BG12" i="6" s="1"/>
  <c r="BF12" i="6"/>
  <c r="AH9" i="6"/>
  <c r="AQ9" i="6"/>
  <c r="AH8" i="6"/>
  <c r="AQ8" i="6"/>
  <c r="AH23" i="6"/>
  <c r="AQ15" i="6"/>
  <c r="AK10" i="6"/>
  <c r="BG10" i="6" s="1"/>
  <c r="BF10" i="6"/>
  <c r="AK15" i="6"/>
  <c r="BG15" i="6" s="1"/>
  <c r="BF15" i="6"/>
  <c r="AK14" i="6"/>
  <c r="BG14" i="6" s="1"/>
  <c r="BF14" i="6"/>
  <c r="AH19" i="6"/>
  <c r="AQ11" i="6"/>
  <c r="AH7" i="6"/>
  <c r="AQ7" i="6"/>
  <c r="AJ5" i="6" l="1"/>
  <c r="AK5" i="6" s="1"/>
  <c r="BG5" i="6" s="1"/>
  <c r="AJ7" i="6"/>
  <c r="BE7" i="6"/>
  <c r="AJ8" i="6"/>
  <c r="BE8" i="6"/>
  <c r="AJ20" i="6"/>
  <c r="AK20" i="6" s="1"/>
  <c r="BE12" i="6"/>
  <c r="AJ24" i="6"/>
  <c r="AK24" i="6" s="1"/>
  <c r="BE16" i="6"/>
  <c r="AJ21" i="6"/>
  <c r="AK21" i="6" s="1"/>
  <c r="BE13" i="6"/>
  <c r="AJ22" i="6"/>
  <c r="AK22" i="6" s="1"/>
  <c r="BE14" i="6"/>
  <c r="AJ16" i="6"/>
  <c r="BE10" i="6"/>
  <c r="AJ6" i="6"/>
  <c r="BE6" i="6"/>
  <c r="AJ19" i="6"/>
  <c r="AK19" i="6" s="1"/>
  <c r="BE11" i="6"/>
  <c r="AJ23" i="6"/>
  <c r="AK23" i="6" s="1"/>
  <c r="BE15" i="6"/>
  <c r="AJ9" i="6"/>
  <c r="BE9" i="6"/>
  <c r="AC4" i="6"/>
  <c r="BA4" i="6" s="1"/>
  <c r="U4" i="6" l="1"/>
  <c r="P4" i="6"/>
  <c r="R4" i="6"/>
  <c r="AT4" i="6" s="1"/>
  <c r="Z4" i="6"/>
  <c r="AY4" i="6" s="1"/>
  <c r="W4" i="6"/>
  <c r="AV4" i="6" s="1"/>
  <c r="O4" i="6"/>
  <c r="AA4" i="6"/>
  <c r="L4" i="6"/>
  <c r="AR4" i="6" s="1"/>
  <c r="T4" i="6"/>
  <c r="AB4" i="6"/>
  <c r="AZ4" i="6" s="1"/>
  <c r="BF5" i="6"/>
  <c r="AK9" i="6"/>
  <c r="BG9" i="6" s="1"/>
  <c r="BF9" i="6"/>
  <c r="AK6" i="6"/>
  <c r="BG6" i="6" s="1"/>
  <c r="BF6" i="6"/>
  <c r="AK16" i="6"/>
  <c r="BG16" i="6" s="1"/>
  <c r="BF16" i="6"/>
  <c r="AK8" i="6"/>
  <c r="BG8" i="6" s="1"/>
  <c r="BF8" i="6"/>
  <c r="AK7" i="6"/>
  <c r="BG7" i="6" s="1"/>
  <c r="BF7" i="6"/>
  <c r="AN4" i="6"/>
  <c r="Y4" i="6"/>
  <c r="AX4" i="6" s="1"/>
  <c r="K4" i="6"/>
  <c r="AQ4" i="6" s="1"/>
  <c r="AE4" i="6"/>
  <c r="BC4" i="6" s="1"/>
  <c r="V4" i="6"/>
  <c r="AF4" i="6"/>
  <c r="X4" i="6"/>
  <c r="AW4" i="6" s="1"/>
  <c r="AG4" i="6"/>
  <c r="BD4" i="6" s="1"/>
  <c r="J4" i="6"/>
  <c r="AP4" i="6" s="1"/>
  <c r="AD4" i="6"/>
  <c r="BB4" i="6" s="1"/>
  <c r="S4" i="6"/>
  <c r="AU4" i="6" s="1"/>
  <c r="N4" i="6"/>
  <c r="Q4" i="6"/>
  <c r="AS4" i="6" s="1"/>
  <c r="M4" i="6"/>
  <c r="BE4" i="6" l="1"/>
  <c r="AH4" i="6"/>
</calcChain>
</file>

<file path=xl/sharedStrings.xml><?xml version="1.0" encoding="utf-8"?>
<sst xmlns="http://schemas.openxmlformats.org/spreadsheetml/2006/main" count="179" uniqueCount="111">
  <si>
    <t>Итого</t>
  </si>
  <si>
    <t>Норма</t>
  </si>
  <si>
    <t>±</t>
  </si>
  <si>
    <t>%</t>
  </si>
  <si>
    <t>кг</t>
  </si>
  <si>
    <t>пшеница</t>
  </si>
  <si>
    <t>ячмень</t>
  </si>
  <si>
    <t>ячмень шелушённый</t>
  </si>
  <si>
    <t>Рыбная мука</t>
  </si>
  <si>
    <t>лизин</t>
  </si>
  <si>
    <t>метионин</t>
  </si>
  <si>
    <t>треонин</t>
  </si>
  <si>
    <t>Показатели</t>
  </si>
  <si>
    <t>фенилаланин</t>
  </si>
  <si>
    <t>Кальций</t>
  </si>
  <si>
    <t>ОЭ, МДж</t>
  </si>
  <si>
    <t>Kукуруза</t>
  </si>
  <si>
    <t>овёс шелушённый</t>
  </si>
  <si>
    <t>отруби пш.</t>
  </si>
  <si>
    <t>Соя полножирная</t>
  </si>
  <si>
    <t>Мука перьевая</t>
  </si>
  <si>
    <t>Мясокостная мука</t>
  </si>
  <si>
    <t>дрожжи кормовые</t>
  </si>
  <si>
    <t>шрот соевый</t>
  </si>
  <si>
    <t>шрот подсолнечный</t>
  </si>
  <si>
    <t>травяная мука</t>
  </si>
  <si>
    <t>мел (известняк, ракушка)</t>
  </si>
  <si>
    <t>трикальцийфосфат</t>
  </si>
  <si>
    <t>монокальцойфосфат</t>
  </si>
  <si>
    <t>сульфат натрия</t>
  </si>
  <si>
    <t>рапсовое  масло</t>
  </si>
  <si>
    <t>подсолнечное масло</t>
  </si>
  <si>
    <t>Живая масса,кг</t>
  </si>
  <si>
    <t>Прирост, г/сут.</t>
  </si>
  <si>
    <t>возраст, недель</t>
  </si>
  <si>
    <t>Яйценоскость,%</t>
  </si>
  <si>
    <t>масса яйца,г</t>
  </si>
  <si>
    <t>потребность, г</t>
  </si>
  <si>
    <t>г</t>
  </si>
  <si>
    <t>Сырой протеин</t>
  </si>
  <si>
    <t>метионин+цистин</t>
  </si>
  <si>
    <t>триптофан</t>
  </si>
  <si>
    <t>аргинин</t>
  </si>
  <si>
    <t>гистидин</t>
  </si>
  <si>
    <t>лейцин</t>
  </si>
  <si>
    <t>изолейцин</t>
  </si>
  <si>
    <t>ф/а</t>
  </si>
  <si>
    <t xml:space="preserve"> тир</t>
  </si>
  <si>
    <t>валин</t>
  </si>
  <si>
    <t>глицин</t>
  </si>
  <si>
    <t>Сырая клетчатка</t>
  </si>
  <si>
    <t>Фосфор общий</t>
  </si>
  <si>
    <t>доступный</t>
  </si>
  <si>
    <t>натрий</t>
  </si>
  <si>
    <t>линолевая кислота</t>
  </si>
  <si>
    <t>ОМ (Обменная масса)</t>
  </si>
  <si>
    <t>УП - уровень поддержания 1 кг ОМ тела =357 КДж</t>
  </si>
  <si>
    <t>Коэффициент способов содержания</t>
  </si>
  <si>
    <t>Уровень поддержания к комфортных условиях</t>
  </si>
  <si>
    <t>прирост массы тела,г</t>
  </si>
  <si>
    <t>УЭП - удельный уровень энергии в приросте, в среднем 26 КДж/г</t>
  </si>
  <si>
    <t>Обменная энергия прироста</t>
  </si>
  <si>
    <t>УЭ Ям удельная энергия яичной массы, (6,82КДж/г)</t>
  </si>
  <si>
    <t>Мя - масса яйца</t>
  </si>
  <si>
    <t>УЯП  уровень яичной продуктивности</t>
  </si>
  <si>
    <t>Энергия яйца</t>
  </si>
  <si>
    <t>УЭСя- удельная энергия синтеза яйца, 1,4 КДж/г</t>
  </si>
  <si>
    <t>Тепло яичной массы</t>
  </si>
  <si>
    <t>ОЭ кур - несушек</t>
  </si>
  <si>
    <t xml:space="preserve"> Рекомендованная КОЭ, МДж/кг</t>
  </si>
  <si>
    <t>Потребность в энергии цыплят - бройлеров</t>
  </si>
  <si>
    <t>ОЭ = ОМ * УП + X * (14.38 + 0,00687 * М)</t>
  </si>
  <si>
    <t>где   ОЭ - обменная энергия, КДж/сут;</t>
  </si>
  <si>
    <t>ЖМ,кг</t>
  </si>
  <si>
    <t>ОМ</t>
  </si>
  <si>
    <t>УП</t>
  </si>
  <si>
    <t>Х</t>
  </si>
  <si>
    <t>нач число</t>
  </si>
  <si>
    <t>коэфф</t>
  </si>
  <si>
    <t>ЖМ,г</t>
  </si>
  <si>
    <t>потребление  корма</t>
  </si>
  <si>
    <t xml:space="preserve"> рекомендуемая КОЭ, МДж/кг</t>
  </si>
  <si>
    <t>Корма</t>
  </si>
  <si>
    <t>тирозин</t>
  </si>
  <si>
    <t>Куры яичных кроссов</t>
  </si>
  <si>
    <t>1 - 7</t>
  </si>
  <si>
    <t>8 - 16</t>
  </si>
  <si>
    <t>17 - 20</t>
  </si>
  <si>
    <t>21 - 45</t>
  </si>
  <si>
    <t>46 и ст.</t>
  </si>
  <si>
    <t>Цыплята - бройлеры, 3 фазы кормления</t>
  </si>
  <si>
    <t>Обменная знергия, Ккал</t>
  </si>
  <si>
    <t>1 - 3</t>
  </si>
  <si>
    <t>4 - 5</t>
  </si>
  <si>
    <t>6 - 7</t>
  </si>
  <si>
    <t xml:space="preserve">молоко сухое </t>
  </si>
  <si>
    <t xml:space="preserve"> способ содержания </t>
  </si>
  <si>
    <t xml:space="preserve">Потребление корма, г/сут </t>
  </si>
  <si>
    <r>
      <t>ОМ - обменная масса тела (масса тела в степени 0,75), кг; УП - уровень поддержания 1 кг обменной массы тела (293-300 КДж); X - прирост массы тела, г; М - масса тела, г. Пример расчёта  Живая масса 500 г ОЭ=0,5</t>
    </r>
    <r>
      <rPr>
        <vertAlign val="superscript"/>
        <sz val="11"/>
        <color indexed="8"/>
        <rFont val="Calibri"/>
        <family val="2"/>
        <charset val="204"/>
      </rPr>
      <t xml:space="preserve">0,75 </t>
    </r>
    <r>
      <rPr>
        <sz val="11"/>
        <color rgb="FF000000"/>
        <rFont val="Calibri"/>
        <family val="2"/>
        <charset val="204"/>
      </rPr>
      <t>*300*40*(14,38+0,00687*500)</t>
    </r>
  </si>
  <si>
    <t>Цена за 1 кг, руб</t>
  </si>
  <si>
    <t xml:space="preserve">Рецепт кормосмеси и рацион для курицы- несушки живой массой </t>
  </si>
  <si>
    <t>яйценоскостью</t>
  </si>
  <si>
    <t>возраст</t>
  </si>
  <si>
    <t>недель</t>
  </si>
  <si>
    <t>масса яйца</t>
  </si>
  <si>
    <t>содержание клеточное</t>
  </si>
  <si>
    <t>Стоимость, руб/kg</t>
  </si>
  <si>
    <t>Инструкция расчёта рациона. В ячейкуА4 заносим живую массу курицы - несушки, в ячейку В4 её запланированный среднесуточный прирост живой массы, в ячейку С4 её возраст, в неделях,  в ячейку D4 яйценоскость,  в ячейкуЕ4 массу яйца, в ячейку F4 - способ содержания (клеточный или напольный). Процентное содержание компонентов кормосмеси вносим по строке "3", кроме показателя пшеницы, который рассчитывается автоматически. Дефицит лизина усираняем в ячейке AB7,метионина в АС8,треонина в AD16, доступного фосфора в Z22, кальция в Y20, натрия в АЕ23, линолевой кислоты в AG24. Правильность расчёта  проверяем в столбцахAH:AJ. Рацион , рецепт кормосмеси и её стоимость, распечатываем из столбцов  AN1:BG18</t>
  </si>
  <si>
    <t>Живая масса</t>
  </si>
  <si>
    <t>напольный</t>
  </si>
  <si>
    <t>Обменная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</si>
</sst>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8" formatCode="#,##0.00&quot; &quot;[$руб.-419];[Red]&quot;-&quot;#,##0.00&quot; &quot;[$руб.-419]"/>
  </numFmts>
  <fonts count="36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7" fillId="0" borderId="0"/>
    <xf numFmtId="0" fontId="12" fillId="0" borderId="3"/>
    <xf numFmtId="0" fontId="13" fillId="0" borderId="4"/>
    <xf numFmtId="0" fontId="14" fillId="0" borderId="5"/>
    <xf numFmtId="0" fontId="14" fillId="0" borderId="0"/>
    <xf numFmtId="0" fontId="23" fillId="4" borderId="0"/>
    <xf numFmtId="0" fontId="19" fillId="3" borderId="0"/>
    <xf numFmtId="0" fontId="18" fillId="22" borderId="0"/>
    <xf numFmtId="0" fontId="9" fillId="7" borderId="1"/>
    <xf numFmtId="0" fontId="10" fillId="20" borderId="2"/>
    <xf numFmtId="0" fontId="11" fillId="20" borderId="1"/>
    <xf numFmtId="0" fontId="21" fillId="0" borderId="9"/>
    <xf numFmtId="0" fontId="16" fillId="21" borderId="7"/>
    <xf numFmtId="0" fontId="22" fillId="0" borderId="0"/>
    <xf numFmtId="0" fontId="5" fillId="23" borderId="8"/>
    <xf numFmtId="0" fontId="20" fillId="0" borderId="0"/>
    <xf numFmtId="0" fontId="15" fillId="0" borderId="6"/>
    <xf numFmtId="0" fontId="6" fillId="16" borderId="0"/>
    <xf numFmtId="0" fontId="5" fillId="2" borderId="0"/>
    <xf numFmtId="0" fontId="5" fillId="8" borderId="0"/>
    <xf numFmtId="0" fontId="6" fillId="12" borderId="0"/>
    <xf numFmtId="0" fontId="6" fillId="17" borderId="0"/>
    <xf numFmtId="0" fontId="5" fillId="3" borderId="0"/>
    <xf numFmtId="0" fontId="5" fillId="9" borderId="0"/>
    <xf numFmtId="0" fontId="6" fillId="9" borderId="0"/>
    <xf numFmtId="0" fontId="6" fillId="18" borderId="0"/>
    <xf numFmtId="0" fontId="5" fillId="4" borderId="0"/>
    <xf numFmtId="0" fontId="5" fillId="10" borderId="0"/>
    <xf numFmtId="0" fontId="6" fillId="10" borderId="0"/>
    <xf numFmtId="0" fontId="6" fillId="13" borderId="0"/>
    <xf numFmtId="0" fontId="5" fillId="5" borderId="0"/>
    <xf numFmtId="0" fontId="5" fillId="5" borderId="0"/>
    <xf numFmtId="0" fontId="6" fillId="13" borderId="0"/>
    <xf numFmtId="0" fontId="6" fillId="14" borderId="0"/>
    <xf numFmtId="0" fontId="5" fillId="6" borderId="0"/>
    <xf numFmtId="0" fontId="5" fillId="8" borderId="0"/>
    <xf numFmtId="0" fontId="6" fillId="14" borderId="0"/>
    <xf numFmtId="0" fontId="6" fillId="19" borderId="0"/>
    <xf numFmtId="0" fontId="5" fillId="7" borderId="0"/>
    <xf numFmtId="0" fontId="5" fillId="11" borderId="0"/>
    <xf numFmtId="0" fontId="6" fillId="15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8" fontId="8" fillId="0" borderId="0"/>
    <xf numFmtId="0" fontId="4" fillId="0" borderId="0"/>
  </cellStyleXfs>
  <cellXfs count="64">
    <xf numFmtId="0" fontId="0" fillId="0" borderId="0" xfId="0"/>
    <xf numFmtId="0" fontId="4" fillId="0" borderId="0" xfId="46"/>
    <xf numFmtId="0" fontId="24" fillId="0" borderId="0" xfId="46" applyFont="1"/>
    <xf numFmtId="0" fontId="24" fillId="0" borderId="0" xfId="46" applyFont="1" applyAlignment="1">
      <alignment horizontal="right"/>
    </xf>
    <xf numFmtId="2" fontId="24" fillId="0" borderId="0" xfId="46" applyNumberFormat="1" applyFont="1" applyAlignment="1">
      <alignment horizontal="right"/>
    </xf>
    <xf numFmtId="2" fontId="24" fillId="0" borderId="0" xfId="46" applyNumberFormat="1" applyFont="1"/>
    <xf numFmtId="0" fontId="4" fillId="0" borderId="0" xfId="46" applyAlignment="1">
      <alignment wrapText="1"/>
    </xf>
    <xf numFmtId="1" fontId="24" fillId="0" borderId="0" xfId="46" applyNumberFormat="1" applyFont="1"/>
    <xf numFmtId="49" fontId="24" fillId="0" borderId="0" xfId="46" applyNumberFormat="1" applyFont="1"/>
    <xf numFmtId="0" fontId="25" fillId="0" borderId="0" xfId="46" applyFont="1"/>
    <xf numFmtId="2" fontId="26" fillId="0" borderId="0" xfId="46" applyNumberFormat="1" applyFont="1" applyAlignment="1">
      <alignment wrapText="1"/>
    </xf>
    <xf numFmtId="2" fontId="25" fillId="0" borderId="0" xfId="46" applyNumberFormat="1" applyFont="1" applyAlignment="1">
      <alignment wrapText="1"/>
    </xf>
    <xf numFmtId="0" fontId="4" fillId="0" borderId="0" xfId="46" applyAlignment="1">
      <alignment textRotation="90" wrapText="1"/>
    </xf>
    <xf numFmtId="0" fontId="24" fillId="0" borderId="0" xfId="46" applyFont="1" applyAlignment="1">
      <alignment textRotation="90" wrapText="1"/>
    </xf>
    <xf numFmtId="0" fontId="25" fillId="0" borderId="0" xfId="46" applyFont="1" applyAlignment="1">
      <alignment textRotation="90" wrapText="1"/>
    </xf>
    <xf numFmtId="0" fontId="4" fillId="0" borderId="0" xfId="46" applyAlignment="1"/>
    <xf numFmtId="0" fontId="27" fillId="0" borderId="10" xfId="46" applyFont="1" applyBorder="1"/>
    <xf numFmtId="0" fontId="4" fillId="0" borderId="10" xfId="46" applyBorder="1"/>
    <xf numFmtId="0" fontId="28" fillId="0" borderId="10" xfId="46" applyFont="1" applyBorder="1"/>
    <xf numFmtId="0" fontId="29" fillId="0" borderId="10" xfId="46" applyFont="1" applyBorder="1"/>
    <xf numFmtId="0" fontId="4" fillId="0" borderId="10" xfId="46" applyBorder="1" applyAlignment="1">
      <alignment wrapText="1"/>
    </xf>
    <xf numFmtId="0" fontId="4" fillId="0" borderId="10" xfId="46" applyFill="1" applyBorder="1" applyAlignment="1">
      <alignment wrapText="1"/>
    </xf>
    <xf numFmtId="0" fontId="31" fillId="0" borderId="10" xfId="46" applyFont="1" applyBorder="1"/>
    <xf numFmtId="0" fontId="32" fillId="0" borderId="10" xfId="46" applyFont="1" applyBorder="1"/>
    <xf numFmtId="1" fontId="31" fillId="0" borderId="10" xfId="46" applyNumberFormat="1" applyFont="1" applyBorder="1"/>
    <xf numFmtId="0" fontId="4" fillId="0" borderId="10" xfId="46" applyFill="1" applyBorder="1"/>
    <xf numFmtId="0" fontId="33" fillId="0" borderId="10" xfId="46" applyFont="1" applyBorder="1"/>
    <xf numFmtId="0" fontId="27" fillId="0" borderId="10" xfId="46" applyFont="1" applyBorder="1" applyAlignment="1">
      <alignment wrapText="1"/>
    </xf>
    <xf numFmtId="0" fontId="31" fillId="0" borderId="10" xfId="46" applyFont="1" applyBorder="1" applyAlignment="1">
      <alignment textRotation="90" wrapText="1"/>
    </xf>
    <xf numFmtId="0" fontId="29" fillId="0" borderId="10" xfId="46" applyFont="1" applyFill="1" applyBorder="1" applyAlignment="1">
      <alignment wrapText="1"/>
    </xf>
    <xf numFmtId="0" fontId="32" fillId="0" borderId="10" xfId="46" applyFont="1" applyFill="1" applyBorder="1" applyAlignment="1">
      <alignment wrapText="1"/>
    </xf>
    <xf numFmtId="0" fontId="25" fillId="0" borderId="10" xfId="46" applyFont="1" applyFill="1" applyBorder="1" applyAlignment="1">
      <alignment wrapText="1"/>
    </xf>
    <xf numFmtId="0" fontId="32" fillId="0" borderId="10" xfId="46" applyFont="1" applyBorder="1" applyAlignment="1">
      <alignment wrapText="1"/>
    </xf>
    <xf numFmtId="0" fontId="4" fillId="0" borderId="11" xfId="46" applyBorder="1" applyAlignment="1">
      <alignment wrapText="1"/>
    </xf>
    <xf numFmtId="0" fontId="4" fillId="0" borderId="11" xfId="46" applyFont="1" applyBorder="1" applyAlignment="1">
      <alignment textRotation="90" wrapText="1"/>
    </xf>
    <xf numFmtId="0" fontId="29" fillId="0" borderId="11" xfId="46" applyFont="1" applyBorder="1" applyAlignment="1">
      <alignment wrapText="1"/>
    </xf>
    <xf numFmtId="0" fontId="4" fillId="0" borderId="11" xfId="46" applyBorder="1"/>
    <xf numFmtId="2" fontId="4" fillId="0" borderId="0" xfId="46" applyNumberFormat="1"/>
    <xf numFmtId="0" fontId="29" fillId="0" borderId="0" xfId="46" applyFont="1"/>
    <xf numFmtId="1" fontId="4" fillId="0" borderId="0" xfId="46" applyNumberFormat="1"/>
    <xf numFmtId="0" fontId="28" fillId="0" borderId="0" xfId="46" applyFont="1" applyAlignment="1">
      <alignment wrapText="1"/>
    </xf>
    <xf numFmtId="0" fontId="34" fillId="0" borderId="0" xfId="46" applyFont="1"/>
    <xf numFmtId="0" fontId="4" fillId="0" borderId="0" xfId="46" applyAlignment="1">
      <alignment horizontal="center"/>
    </xf>
    <xf numFmtId="2" fontId="4" fillId="0" borderId="10" xfId="46" applyNumberFormat="1" applyBorder="1"/>
    <xf numFmtId="164" fontId="4" fillId="0" borderId="10" xfId="46" applyNumberFormat="1" applyBorder="1"/>
    <xf numFmtId="2" fontId="4" fillId="0" borderId="10" xfId="46" applyNumberFormat="1" applyBorder="1" applyAlignment="1">
      <alignment wrapText="1"/>
    </xf>
    <xf numFmtId="0" fontId="3" fillId="0" borderId="10" xfId="46" applyFont="1" applyBorder="1" applyAlignment="1">
      <alignment wrapText="1"/>
    </xf>
    <xf numFmtId="0" fontId="3" fillId="0" borderId="10" xfId="46" applyFont="1" applyBorder="1"/>
    <xf numFmtId="1" fontId="4" fillId="0" borderId="10" xfId="46" applyNumberFormat="1" applyBorder="1" applyAlignment="1">
      <alignment wrapText="1"/>
    </xf>
    <xf numFmtId="1" fontId="3" fillId="0" borderId="10" xfId="46" applyNumberFormat="1" applyFont="1" applyBorder="1"/>
    <xf numFmtId="2" fontId="3" fillId="0" borderId="10" xfId="46" applyNumberFormat="1" applyFont="1" applyBorder="1"/>
    <xf numFmtId="2" fontId="3" fillId="0" borderId="10" xfId="46" applyNumberFormat="1" applyFont="1" applyBorder="1" applyAlignment="1">
      <alignment wrapText="1"/>
    </xf>
    <xf numFmtId="0" fontId="35" fillId="0" borderId="0" xfId="46" applyFont="1"/>
    <xf numFmtId="0" fontId="2" fillId="0" borderId="10" xfId="46" applyFont="1" applyBorder="1" applyAlignment="1">
      <alignment wrapText="1"/>
    </xf>
    <xf numFmtId="1" fontId="29" fillId="0" borderId="10" xfId="46" applyNumberFormat="1" applyFont="1" applyBorder="1"/>
    <xf numFmtId="1" fontId="32" fillId="0" borderId="10" xfId="46" applyNumberFormat="1" applyFont="1" applyBorder="1"/>
    <xf numFmtId="0" fontId="1" fillId="0" borderId="0" xfId="46" applyFont="1"/>
    <xf numFmtId="0" fontId="4" fillId="0" borderId="0" xfId="46" applyAlignment="1">
      <alignment horizontal="center" wrapText="1"/>
    </xf>
    <xf numFmtId="0" fontId="27" fillId="0" borderId="0" xfId="46" applyFont="1" applyAlignment="1">
      <alignment horizontal="center" wrapText="1"/>
    </xf>
    <xf numFmtId="0" fontId="35" fillId="0" borderId="12" xfId="46" applyFont="1" applyBorder="1" applyAlignment="1">
      <alignment horizontal="center"/>
    </xf>
    <xf numFmtId="0" fontId="24" fillId="0" borderId="0" xfId="46" applyFont="1" applyAlignment="1">
      <alignment horizontal="center" wrapText="1"/>
    </xf>
    <xf numFmtId="0" fontId="4" fillId="0" borderId="0" xfId="46" applyAlignment="1">
      <alignment horizontal="left" wrapText="1"/>
    </xf>
    <xf numFmtId="0" fontId="27" fillId="0" borderId="13" xfId="46" applyFont="1" applyBorder="1" applyAlignment="1">
      <alignment horizontal="center"/>
    </xf>
    <xf numFmtId="0" fontId="24" fillId="0" borderId="0" xfId="46" applyFont="1" applyAlignment="1">
      <alignment horizontal="center"/>
    </xf>
  </cellXfs>
  <cellStyles count="47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Heading" xfId="42"/>
    <cellStyle name="Heading1" xfId="43"/>
    <cellStyle name="Result" xfId="44"/>
    <cellStyle name="Result2" xfId="45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6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2"/>
  <sheetViews>
    <sheetView tabSelected="1" topLeftCell="V1" zoomScale="110" zoomScaleNormal="110" workbookViewId="0">
      <selection activeCell="BH2" sqref="BH2:BH19"/>
    </sheetView>
  </sheetViews>
  <sheetFormatPr defaultRowHeight="15" x14ac:dyDescent="0.25"/>
  <cols>
    <col min="1" max="1" width="16.42578125" style="1" customWidth="1"/>
    <col min="2" max="2" width="8.7109375" style="1" customWidth="1"/>
    <col min="3" max="14" width="9.140625" style="1"/>
    <col min="15" max="15" width="11.5703125" style="1" customWidth="1"/>
    <col min="16" max="16" width="9.140625" style="1"/>
    <col min="17" max="17" width="13.140625" style="1" customWidth="1"/>
    <col min="18" max="39" width="9.140625" style="1"/>
    <col min="40" max="40" width="14.85546875" style="1" customWidth="1"/>
    <col min="41" max="56" width="9.140625" style="1"/>
    <col min="57" max="57" width="7.7109375" style="1" customWidth="1"/>
    <col min="58" max="59" width="9.140625" style="1"/>
    <col min="60" max="60" width="21.85546875" style="1" customWidth="1"/>
    <col min="61" max="16384" width="9.140625" style="1"/>
  </cols>
  <sheetData>
    <row r="1" spans="1:60" ht="71.25" customHeight="1" x14ac:dyDescent="0.25">
      <c r="A1" s="58" t="s">
        <v>107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37">
        <f>K3+Q3+R3+W3+X3+Y3+Z3+AB3+AC3+AE3+AG3</f>
        <v>100</v>
      </c>
      <c r="P1" s="15"/>
      <c r="Q1" s="15"/>
      <c r="R1" s="15"/>
      <c r="S1" s="15"/>
      <c r="T1" s="15"/>
      <c r="AB1" s="1">
        <f>16.8/4.2</f>
        <v>4</v>
      </c>
      <c r="AN1" s="59" t="s">
        <v>100</v>
      </c>
      <c r="AO1" s="59"/>
      <c r="AP1" s="59"/>
      <c r="AQ1" s="59"/>
      <c r="AR1" s="59"/>
      <c r="AS1" s="59"/>
      <c r="AT1" s="52">
        <f>A4</f>
        <v>2</v>
      </c>
      <c r="AU1" s="52" t="s">
        <v>4</v>
      </c>
      <c r="AV1" s="52" t="s">
        <v>101</v>
      </c>
      <c r="AW1" s="52"/>
      <c r="AX1" s="52">
        <f>D4</f>
        <v>90</v>
      </c>
      <c r="AY1" s="52" t="s">
        <v>3</v>
      </c>
      <c r="AZ1" s="52" t="s">
        <v>102</v>
      </c>
      <c r="BA1" s="52">
        <f>C4</f>
        <v>50</v>
      </c>
      <c r="BB1" s="52" t="s">
        <v>103</v>
      </c>
      <c r="BC1" s="52" t="s">
        <v>104</v>
      </c>
      <c r="BD1" s="52">
        <f>E4</f>
        <v>58</v>
      </c>
      <c r="BE1" s="52" t="s">
        <v>38</v>
      </c>
      <c r="BF1" s="52" t="s">
        <v>105</v>
      </c>
      <c r="BG1" s="52"/>
    </row>
    <row r="2" spans="1:60" ht="75" x14ac:dyDescent="0.25">
      <c r="F2" s="42"/>
      <c r="G2" s="42"/>
      <c r="H2" s="6"/>
      <c r="I2" s="1" t="s">
        <v>1</v>
      </c>
      <c r="J2" s="6" t="str">
        <f t="shared" ref="J2:X2" si="0">B49</f>
        <v>Kукуруза</v>
      </c>
      <c r="K2" s="6" t="str">
        <f t="shared" si="0"/>
        <v>пшеница</v>
      </c>
      <c r="L2" s="6" t="str">
        <f t="shared" si="0"/>
        <v>ячмень</v>
      </c>
      <c r="M2" s="6" t="str">
        <f t="shared" si="0"/>
        <v>ячмень шелушённый</v>
      </c>
      <c r="N2" s="6" t="str">
        <f t="shared" si="0"/>
        <v>овёс шелушённый</v>
      </c>
      <c r="O2" s="6" t="str">
        <f t="shared" si="0"/>
        <v>отруби пш.</v>
      </c>
      <c r="P2" s="6" t="str">
        <f t="shared" si="0"/>
        <v>Соя полножирная</v>
      </c>
      <c r="Q2" s="6" t="str">
        <f t="shared" si="0"/>
        <v>Мука перьевая</v>
      </c>
      <c r="R2" s="6" t="str">
        <f t="shared" si="0"/>
        <v>Рыбная мука</v>
      </c>
      <c r="S2" s="6" t="str">
        <f t="shared" si="0"/>
        <v>Мясокостная мука</v>
      </c>
      <c r="T2" s="6" t="str">
        <f t="shared" si="0"/>
        <v>дрожжи кормовые</v>
      </c>
      <c r="U2" s="6" t="str">
        <f t="shared" si="0"/>
        <v xml:space="preserve">молоко сухое </v>
      </c>
      <c r="V2" s="6" t="str">
        <f t="shared" si="0"/>
        <v>шрот соевый</v>
      </c>
      <c r="W2" s="6" t="str">
        <f t="shared" si="0"/>
        <v>шрот подсолнечный</v>
      </c>
      <c r="X2" s="6" t="str">
        <f t="shared" si="0"/>
        <v>травяная мука</v>
      </c>
      <c r="Y2" s="6" t="s">
        <v>26</v>
      </c>
      <c r="Z2" s="6" t="s">
        <v>27</v>
      </c>
      <c r="AA2" s="6" t="s">
        <v>28</v>
      </c>
      <c r="AB2" s="6" t="s">
        <v>9</v>
      </c>
      <c r="AC2" s="6" t="s">
        <v>10</v>
      </c>
      <c r="AD2" s="6" t="s">
        <v>11</v>
      </c>
      <c r="AE2" s="6" t="s">
        <v>29</v>
      </c>
      <c r="AF2" s="6" t="s">
        <v>30</v>
      </c>
      <c r="AG2" s="6" t="s">
        <v>31</v>
      </c>
      <c r="AH2" s="1" t="s">
        <v>0</v>
      </c>
      <c r="AI2" s="1" t="s">
        <v>1</v>
      </c>
      <c r="AJ2" s="41" t="s">
        <v>2</v>
      </c>
      <c r="AK2" s="41" t="s">
        <v>3</v>
      </c>
      <c r="AN2" s="46" t="s">
        <v>12</v>
      </c>
      <c r="AO2" s="46" t="str">
        <f>I2</f>
        <v>Норма</v>
      </c>
      <c r="AP2" s="46" t="str">
        <f t="shared" ref="AP2:AR4" si="1">J2</f>
        <v>Kукуруза</v>
      </c>
      <c r="AQ2" s="46" t="str">
        <f t="shared" si="1"/>
        <v>пшеница</v>
      </c>
      <c r="AR2" s="46" t="str">
        <f t="shared" si="1"/>
        <v>ячмень</v>
      </c>
      <c r="AS2" s="20" t="str">
        <f t="shared" ref="AS2:AT4" si="2">Q2</f>
        <v>Мука перьевая</v>
      </c>
      <c r="AT2" s="20" t="str">
        <f t="shared" si="2"/>
        <v>Рыбная мука</v>
      </c>
      <c r="AU2" s="20" t="str">
        <f>S2</f>
        <v>Мясокостная мука</v>
      </c>
      <c r="AV2" s="20" t="str">
        <f t="shared" ref="AV2:AX5" si="3">W2</f>
        <v>шрот подсолнечный</v>
      </c>
      <c r="AW2" s="20" t="str">
        <f t="shared" si="3"/>
        <v>травяная мука</v>
      </c>
      <c r="AX2" s="45" t="str">
        <f t="shared" si="3"/>
        <v>мел (известняк, ракушка)</v>
      </c>
      <c r="AY2" s="45" t="str">
        <f t="shared" ref="AY2:AY9" si="4">Z2</f>
        <v>трикальцийфосфат</v>
      </c>
      <c r="AZ2" s="20" t="str">
        <f t="shared" ref="AZ2:AZ9" si="5">AB2</f>
        <v>лизин</v>
      </c>
      <c r="BA2" s="20" t="str">
        <f t="shared" ref="BA2:BB4" si="6">AC2</f>
        <v>метионин</v>
      </c>
      <c r="BB2" s="20" t="str">
        <f t="shared" si="6"/>
        <v>треонин</v>
      </c>
      <c r="BC2" s="20" t="str">
        <f>AE2</f>
        <v>сульфат натрия</v>
      </c>
      <c r="BD2" s="45" t="str">
        <f>AG2</f>
        <v>подсолнечное масло</v>
      </c>
      <c r="BE2" s="20" t="str">
        <f>AH2</f>
        <v>Итого</v>
      </c>
      <c r="BF2" s="20" t="str">
        <f>AJ2</f>
        <v>±</v>
      </c>
      <c r="BG2" s="20" t="str">
        <f>AK2</f>
        <v>%</v>
      </c>
      <c r="BH2" s="6" t="str">
        <f>AN2</f>
        <v>Показатели</v>
      </c>
    </row>
    <row r="3" spans="1:60" ht="45" x14ac:dyDescent="0.25">
      <c r="A3" s="40" t="s">
        <v>32</v>
      </c>
      <c r="B3" s="40" t="s">
        <v>33</v>
      </c>
      <c r="C3" s="40" t="s">
        <v>34</v>
      </c>
      <c r="D3" s="40" t="s">
        <v>35</v>
      </c>
      <c r="E3" s="40" t="s">
        <v>36</v>
      </c>
      <c r="F3" s="40" t="s">
        <v>96</v>
      </c>
      <c r="G3" s="6"/>
      <c r="H3" s="6" t="s">
        <v>37</v>
      </c>
      <c r="I3" s="39" t="s">
        <v>3</v>
      </c>
      <c r="J3" s="1">
        <v>0</v>
      </c>
      <c r="K3" s="37">
        <f>100-J3-L3-M3-N3-O3-P3-Q3-R3-S3-T3-U3-V3-W3-X3-Y3-Z3-AA3-AB3-AC3-AD3-AE3-AF3-AG3</f>
        <v>66.806356976356994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4</v>
      </c>
      <c r="R3" s="1">
        <v>2</v>
      </c>
      <c r="S3" s="1">
        <v>0</v>
      </c>
      <c r="T3" s="1">
        <v>0</v>
      </c>
      <c r="U3" s="1">
        <v>0</v>
      </c>
      <c r="V3" s="1">
        <v>0</v>
      </c>
      <c r="W3" s="1">
        <v>10</v>
      </c>
      <c r="X3" s="1">
        <v>4</v>
      </c>
      <c r="Y3" s="1">
        <f>Y20/0.33</f>
        <v>8.6060606060606055</v>
      </c>
      <c r="Z3" s="1">
        <f>Z22/0.12</f>
        <v>1.8333333333333335</v>
      </c>
      <c r="AB3" s="1">
        <f>AB7/0.78</f>
        <v>0.34615384615384615</v>
      </c>
      <c r="AC3" s="1">
        <f>AC8</f>
        <v>7.0000000000000007E-2</v>
      </c>
      <c r="AE3" s="1">
        <f>AE23/0.3</f>
        <v>0.43333333333333335</v>
      </c>
      <c r="AF3" s="1">
        <v>0</v>
      </c>
      <c r="AG3" s="1">
        <f>AG24/0.588</f>
        <v>1.9047619047619051</v>
      </c>
      <c r="AH3" s="1">
        <f>IF(AI3=100,100,"ЛОЖЬ")</f>
        <v>100</v>
      </c>
      <c r="AI3" s="37">
        <f>SUM(J3:AG3)</f>
        <v>100</v>
      </c>
      <c r="AN3" s="20" t="str">
        <f t="shared" ref="AN3:AN9" si="7">H3</f>
        <v>потребность, г</v>
      </c>
      <c r="AO3" s="20" t="str">
        <f>I3</f>
        <v>%</v>
      </c>
      <c r="AP3" s="51">
        <f t="shared" ref="AP3:AP9" si="8">J3</f>
        <v>0</v>
      </c>
      <c r="AQ3" s="51">
        <f t="shared" si="1"/>
        <v>66.806356976356994</v>
      </c>
      <c r="AR3" s="51">
        <f t="shared" si="1"/>
        <v>0</v>
      </c>
      <c r="AS3" s="20">
        <f t="shared" si="2"/>
        <v>4</v>
      </c>
      <c r="AT3" s="20">
        <f t="shared" si="2"/>
        <v>2</v>
      </c>
      <c r="AU3" s="20">
        <f>S3</f>
        <v>0</v>
      </c>
      <c r="AV3" s="20">
        <f t="shared" si="3"/>
        <v>10</v>
      </c>
      <c r="AW3" s="20">
        <f t="shared" si="3"/>
        <v>4</v>
      </c>
      <c r="AX3" s="45">
        <f t="shared" si="3"/>
        <v>8.6060606060606055</v>
      </c>
      <c r="AY3" s="45">
        <f t="shared" si="4"/>
        <v>1.8333333333333335</v>
      </c>
      <c r="AZ3" s="45">
        <f t="shared" si="5"/>
        <v>0.34615384615384615</v>
      </c>
      <c r="BA3" s="45">
        <f t="shared" si="6"/>
        <v>7.0000000000000007E-2</v>
      </c>
      <c r="BB3" s="45">
        <f t="shared" si="6"/>
        <v>0</v>
      </c>
      <c r="BC3" s="45">
        <f>AE3</f>
        <v>0.43333333333333335</v>
      </c>
      <c r="BD3" s="45">
        <f t="shared" ref="BD3:BD9" si="9">AG3</f>
        <v>1.9047619047619051</v>
      </c>
      <c r="BE3" s="44">
        <f>AP3+AQ3+AR3+AS3+AT3+AU3+AV3+AW3+AX3+AY3+AZ3+BA3+BB3+BC3+BD3</f>
        <v>100</v>
      </c>
      <c r="BF3" s="17"/>
      <c r="BG3" s="17"/>
      <c r="BH3" s="6" t="str">
        <f t="shared" ref="BH3:BH19" si="10">AN3</f>
        <v>потребность, г</v>
      </c>
    </row>
    <row r="4" spans="1:60" ht="30" x14ac:dyDescent="0.25">
      <c r="A4" s="38">
        <v>2</v>
      </c>
      <c r="B4" s="38">
        <v>5</v>
      </c>
      <c r="C4" s="38">
        <v>50</v>
      </c>
      <c r="D4" s="38">
        <v>90</v>
      </c>
      <c r="E4" s="38">
        <v>58</v>
      </c>
      <c r="F4" s="38" t="s">
        <v>109</v>
      </c>
      <c r="H4" s="39">
        <f>Q27</f>
        <v>134.16213793536102</v>
      </c>
      <c r="I4" s="39" t="s">
        <v>38</v>
      </c>
      <c r="J4" s="1">
        <f t="shared" ref="J4:AG4" si="11">J3*$H$4/100</f>
        <v>0</v>
      </c>
      <c r="K4" s="37">
        <f t="shared" si="11"/>
        <v>89.62883679620974</v>
      </c>
      <c r="L4" s="1">
        <f t="shared" si="11"/>
        <v>0</v>
      </c>
      <c r="M4" s="1">
        <f t="shared" si="11"/>
        <v>0</v>
      </c>
      <c r="N4" s="1">
        <f t="shared" si="11"/>
        <v>0</v>
      </c>
      <c r="O4" s="1">
        <f t="shared" si="11"/>
        <v>0</v>
      </c>
      <c r="P4" s="1">
        <f t="shared" si="11"/>
        <v>0</v>
      </c>
      <c r="Q4" s="37">
        <f t="shared" si="11"/>
        <v>5.366485517414441</v>
      </c>
      <c r="R4" s="37">
        <f t="shared" si="11"/>
        <v>2.6832427587072205</v>
      </c>
      <c r="S4" s="1">
        <f t="shared" si="11"/>
        <v>0</v>
      </c>
      <c r="T4" s="1">
        <f t="shared" si="11"/>
        <v>0</v>
      </c>
      <c r="U4" s="1">
        <f t="shared" si="11"/>
        <v>0</v>
      </c>
      <c r="V4" s="1">
        <f t="shared" si="11"/>
        <v>0</v>
      </c>
      <c r="W4" s="37">
        <f t="shared" si="11"/>
        <v>13.416213793536102</v>
      </c>
      <c r="X4" s="37">
        <f t="shared" si="11"/>
        <v>5.366485517414441</v>
      </c>
      <c r="Y4" s="1">
        <f t="shared" si="11"/>
        <v>11.546074901103795</v>
      </c>
      <c r="Z4" s="1">
        <f t="shared" si="11"/>
        <v>2.459639195481619</v>
      </c>
      <c r="AA4" s="1">
        <f t="shared" si="11"/>
        <v>0</v>
      </c>
      <c r="AB4" s="1">
        <f t="shared" si="11"/>
        <v>0.46440740054548046</v>
      </c>
      <c r="AC4" s="1">
        <f t="shared" si="11"/>
        <v>9.3913496554752729E-2</v>
      </c>
      <c r="AD4" s="1">
        <f t="shared" si="11"/>
        <v>0</v>
      </c>
      <c r="AE4" s="1">
        <f t="shared" si="11"/>
        <v>0.58136926438656444</v>
      </c>
      <c r="AF4" s="1">
        <f t="shared" si="11"/>
        <v>0</v>
      </c>
      <c r="AG4" s="1">
        <f t="shared" si="11"/>
        <v>2.5554692940068771</v>
      </c>
      <c r="AH4" s="1">
        <f>SUM(J4:AG4)</f>
        <v>134.16213793536105</v>
      </c>
      <c r="AN4" s="45">
        <f t="shared" si="7"/>
        <v>134.16213793536102</v>
      </c>
      <c r="AO4" s="20" t="str">
        <f t="shared" ref="AO4:AO9" si="12">I4</f>
        <v>г</v>
      </c>
      <c r="AP4" s="51">
        <f t="shared" si="8"/>
        <v>0</v>
      </c>
      <c r="AQ4" s="51">
        <f t="shared" si="1"/>
        <v>89.62883679620974</v>
      </c>
      <c r="AR4" s="51">
        <f t="shared" si="1"/>
        <v>0</v>
      </c>
      <c r="AS4" s="45">
        <f t="shared" si="2"/>
        <v>5.366485517414441</v>
      </c>
      <c r="AT4" s="45">
        <f t="shared" si="2"/>
        <v>2.6832427587072205</v>
      </c>
      <c r="AU4" s="45">
        <f>S4</f>
        <v>0</v>
      </c>
      <c r="AV4" s="45">
        <f t="shared" si="3"/>
        <v>13.416213793536102</v>
      </c>
      <c r="AW4" s="45">
        <f t="shared" si="3"/>
        <v>5.366485517414441</v>
      </c>
      <c r="AX4" s="45">
        <f t="shared" si="3"/>
        <v>11.546074901103795</v>
      </c>
      <c r="AY4" s="45">
        <f t="shared" si="4"/>
        <v>2.459639195481619</v>
      </c>
      <c r="AZ4" s="45">
        <f t="shared" si="5"/>
        <v>0.46440740054548046</v>
      </c>
      <c r="BA4" s="45">
        <f t="shared" si="6"/>
        <v>9.3913496554752729E-2</v>
      </c>
      <c r="BB4" s="45">
        <f t="shared" si="6"/>
        <v>0</v>
      </c>
      <c r="BC4" s="45">
        <f>AE4</f>
        <v>0.58136926438656444</v>
      </c>
      <c r="BD4" s="45">
        <f t="shared" si="9"/>
        <v>2.5554692940068771</v>
      </c>
      <c r="BE4" s="44">
        <f>AP4+AQ4+AR4+AS4+AT4+AU4+AV4+AW4+AX4+AY4+AZ4+BA4+BB4+BC4+BD4</f>
        <v>134.16213793536105</v>
      </c>
      <c r="BF4" s="17"/>
      <c r="BG4" s="17"/>
      <c r="BH4" s="6">
        <f t="shared" si="10"/>
        <v>134.16213793536102</v>
      </c>
    </row>
    <row r="5" spans="1:60" ht="30" x14ac:dyDescent="0.25">
      <c r="H5" s="6" t="s">
        <v>15</v>
      </c>
      <c r="I5" s="1">
        <f>IF($C$4&lt;46,E75,F75)</f>
        <v>1050</v>
      </c>
      <c r="J5" s="1">
        <f>$J$3*B50*10</f>
        <v>0</v>
      </c>
      <c r="K5" s="37">
        <f>$K$3*C50*10</f>
        <v>828.39882650682671</v>
      </c>
      <c r="L5" s="1">
        <f>$L$3*D50*10</f>
        <v>0</v>
      </c>
      <c r="M5" s="1">
        <f>$M$3*E50*10</f>
        <v>0</v>
      </c>
      <c r="N5" s="1">
        <f>$N$3*F50*10</f>
        <v>0</v>
      </c>
      <c r="O5" s="1">
        <f>$O$3*G50*10</f>
        <v>0</v>
      </c>
      <c r="P5" s="1">
        <f>$P$3*H50*10</f>
        <v>0</v>
      </c>
      <c r="Q5" s="37">
        <f>$Q$3*I50*10</f>
        <v>31.200000000000003</v>
      </c>
      <c r="R5" s="37">
        <f>$R$3*J50*10</f>
        <v>23.799999999999997</v>
      </c>
      <c r="S5" s="1">
        <f>$T$3*K50*10</f>
        <v>0</v>
      </c>
      <c r="T5" s="1">
        <f>$T$3*L50*10</f>
        <v>0</v>
      </c>
      <c r="U5" s="1">
        <f>$U$3*M50*10</f>
        <v>0</v>
      </c>
      <c r="V5" s="1">
        <f>$V$3*N50*10</f>
        <v>0</v>
      </c>
      <c r="W5" s="37">
        <f>$W$3*O50*10</f>
        <v>93.999999999999986</v>
      </c>
      <c r="X5" s="37">
        <f>$X$3*P50*10</f>
        <v>13.600000000000001</v>
      </c>
      <c r="AB5" s="1">
        <f>AB3*1.69</f>
        <v>0.58499999999999996</v>
      </c>
      <c r="AC5" s="1">
        <f>AC3*2.1</f>
        <v>0.14700000000000002</v>
      </c>
      <c r="AD5" s="1">
        <f>AD3*1.46</f>
        <v>0</v>
      </c>
      <c r="AF5" s="1">
        <f>AF3*85.3</f>
        <v>0</v>
      </c>
      <c r="AG5" s="1">
        <f>AG3*85.3</f>
        <v>162.47619047619051</v>
      </c>
      <c r="AH5" s="1">
        <f t="shared" ref="AH5:AH24" si="13">SUM(J5:AG5)</f>
        <v>1154.2070169830174</v>
      </c>
      <c r="AI5" s="39">
        <f t="shared" ref="AI5:AI24" si="14">I5</f>
        <v>1050</v>
      </c>
      <c r="AJ5" s="37">
        <f t="shared" ref="AJ5:AJ24" si="15">AH5-AI5</f>
        <v>104.20701698301741</v>
      </c>
      <c r="AK5" s="37">
        <f t="shared" ref="AK5:AK24" si="16">AJ5/AI5*100</f>
        <v>9.9244778079064204</v>
      </c>
      <c r="AL5" s="6" t="str">
        <f>H5</f>
        <v>ОЭ, МДж</v>
      </c>
      <c r="AN5" s="20" t="str">
        <f t="shared" si="7"/>
        <v>ОЭ, МДж</v>
      </c>
      <c r="AO5" s="20">
        <f t="shared" si="12"/>
        <v>1050</v>
      </c>
      <c r="AP5" s="20">
        <f t="shared" si="8"/>
        <v>0</v>
      </c>
      <c r="AQ5" s="48">
        <f t="shared" ref="AQ5:AR9" si="17">K5</f>
        <v>828.39882650682671</v>
      </c>
      <c r="AR5" s="20">
        <f t="shared" si="17"/>
        <v>0</v>
      </c>
      <c r="AS5" s="43">
        <f>Q5</f>
        <v>31.200000000000003</v>
      </c>
      <c r="AT5" s="43">
        <f t="shared" ref="AT5:AU9" si="18">R5</f>
        <v>23.799999999999997</v>
      </c>
      <c r="AU5" s="43">
        <f t="shared" si="18"/>
        <v>0</v>
      </c>
      <c r="AV5" s="43">
        <f t="shared" si="3"/>
        <v>93.999999999999986</v>
      </c>
      <c r="AW5" s="43">
        <f t="shared" si="3"/>
        <v>13.600000000000001</v>
      </c>
      <c r="AX5" s="43">
        <f t="shared" si="3"/>
        <v>0</v>
      </c>
      <c r="AY5" s="43">
        <f t="shared" si="4"/>
        <v>0</v>
      </c>
      <c r="AZ5" s="43">
        <f t="shared" si="5"/>
        <v>0.58499999999999996</v>
      </c>
      <c r="BA5" s="43">
        <f t="shared" ref="BA5:BC9" si="19">AC5</f>
        <v>0.14700000000000002</v>
      </c>
      <c r="BB5" s="43">
        <f t="shared" si="19"/>
        <v>0</v>
      </c>
      <c r="BC5" s="43">
        <f t="shared" si="19"/>
        <v>0</v>
      </c>
      <c r="BD5" s="43">
        <f t="shared" si="9"/>
        <v>162.47619047619051</v>
      </c>
      <c r="BE5" s="49">
        <f>AH5</f>
        <v>1154.2070169830174</v>
      </c>
      <c r="BF5" s="43">
        <f t="shared" ref="BF5:BF16" si="20">AJ5</f>
        <v>104.20701698301741</v>
      </c>
      <c r="BG5" s="43">
        <f t="shared" ref="BG5:BG16" si="21">AK5</f>
        <v>9.9244778079064204</v>
      </c>
      <c r="BH5" s="6" t="str">
        <f t="shared" si="10"/>
        <v>ОЭ, МДж</v>
      </c>
    </row>
    <row r="6" spans="1:60" ht="14.25" customHeight="1" x14ac:dyDescent="0.25">
      <c r="H6" s="6" t="s">
        <v>39</v>
      </c>
      <c r="I6" s="1">
        <f t="shared" ref="I6:I24" si="22">IF($C$4&lt;46,E76,F76)</f>
        <v>16</v>
      </c>
      <c r="J6" s="1">
        <f t="shared" ref="J6:J24" si="23">$J$3*B51/100</f>
        <v>0</v>
      </c>
      <c r="K6" s="37">
        <f t="shared" ref="K6:K24" si="24">$K$3*C51/100</f>
        <v>7.6827310522810546</v>
      </c>
      <c r="L6" s="1">
        <f t="shared" ref="L6:L24" si="25">$L$3*D51/100</f>
        <v>0</v>
      </c>
      <c r="M6" s="1">
        <f t="shared" ref="M6:M24" si="26">$M$3*E51/100</f>
        <v>0</v>
      </c>
      <c r="N6" s="1">
        <f t="shared" ref="N6:N24" si="27">$N$3*F51/100</f>
        <v>0</v>
      </c>
      <c r="O6" s="1">
        <f t="shared" ref="O6:O24" si="28">$O$3*G51/100</f>
        <v>0</v>
      </c>
      <c r="P6" s="1">
        <f t="shared" ref="P6:P24" si="29">$P$3*H51/100</f>
        <v>0</v>
      </c>
      <c r="Q6" s="37">
        <f t="shared" ref="Q6:Q24" si="30">$Q$3*I51/100</f>
        <v>3.1960000000000002</v>
      </c>
      <c r="R6" s="37">
        <f t="shared" ref="R6:R24" si="31">$R$3*J51/100</f>
        <v>1.26</v>
      </c>
      <c r="S6" s="1">
        <f t="shared" ref="S6:S24" si="32">$S$3*K51/100</f>
        <v>0</v>
      </c>
      <c r="T6" s="1">
        <f t="shared" ref="T6:T24" si="33">$T$3*L51/100</f>
        <v>0</v>
      </c>
      <c r="U6" s="1">
        <f t="shared" ref="U6:U24" si="34">$U$3*M51/100</f>
        <v>0</v>
      </c>
      <c r="V6" s="1">
        <f t="shared" ref="V6:V24" si="35">$V$3*N51/100</f>
        <v>0</v>
      </c>
      <c r="W6" s="37">
        <f t="shared" ref="W6:W24" si="36">$W$3*O51/100</f>
        <v>3.88</v>
      </c>
      <c r="X6" s="37">
        <f t="shared" ref="X6:X24" si="37">$X$3*P51/100</f>
        <v>0.63600000000000001</v>
      </c>
      <c r="AB6" s="1">
        <f>AB3*0.944</f>
        <v>0.32676923076923076</v>
      </c>
      <c r="AC6" s="1">
        <f>AC3*0.581</f>
        <v>4.0669999999999998E-2</v>
      </c>
      <c r="AD6" s="1">
        <f>AD3*0.7</f>
        <v>0</v>
      </c>
      <c r="AH6" s="1">
        <f t="shared" si="13"/>
        <v>17.022170283050283</v>
      </c>
      <c r="AI6" s="37">
        <f t="shared" si="14"/>
        <v>16</v>
      </c>
      <c r="AJ6" s="37">
        <f t="shared" si="15"/>
        <v>1.0221702830502828</v>
      </c>
      <c r="AK6" s="37">
        <f t="shared" si="16"/>
        <v>6.3885642690642674</v>
      </c>
      <c r="AL6" s="6" t="str">
        <f t="shared" ref="AL6:AL24" si="38">H6</f>
        <v>Сырой протеин</v>
      </c>
      <c r="AN6" s="20" t="str">
        <f t="shared" si="7"/>
        <v>Сырой протеин</v>
      </c>
      <c r="AO6" s="20">
        <f t="shared" si="12"/>
        <v>16</v>
      </c>
      <c r="AP6" s="20">
        <f t="shared" si="8"/>
        <v>0</v>
      </c>
      <c r="AQ6" s="45">
        <f t="shared" si="17"/>
        <v>7.6827310522810546</v>
      </c>
      <c r="AR6" s="20">
        <f t="shared" si="17"/>
        <v>0</v>
      </c>
      <c r="AS6" s="45">
        <f>Q6</f>
        <v>3.1960000000000002</v>
      </c>
      <c r="AT6" s="45">
        <f t="shared" si="18"/>
        <v>1.26</v>
      </c>
      <c r="AU6" s="43">
        <f t="shared" si="18"/>
        <v>0</v>
      </c>
      <c r="AV6" s="43">
        <f t="shared" ref="AV6:AX9" si="39">W6</f>
        <v>3.88</v>
      </c>
      <c r="AW6" s="43">
        <f t="shared" si="39"/>
        <v>0.63600000000000001</v>
      </c>
      <c r="AX6" s="43">
        <f t="shared" si="39"/>
        <v>0</v>
      </c>
      <c r="AY6" s="43">
        <f t="shared" si="4"/>
        <v>0</v>
      </c>
      <c r="AZ6" s="43">
        <f t="shared" si="5"/>
        <v>0.32676923076923076</v>
      </c>
      <c r="BA6" s="43">
        <f t="shared" si="19"/>
        <v>4.0669999999999998E-2</v>
      </c>
      <c r="BB6" s="43">
        <f t="shared" si="19"/>
        <v>0</v>
      </c>
      <c r="BC6" s="43">
        <f t="shared" si="19"/>
        <v>0</v>
      </c>
      <c r="BD6" s="43">
        <f t="shared" si="9"/>
        <v>0</v>
      </c>
      <c r="BE6" s="50">
        <f>AH6</f>
        <v>17.022170283050283</v>
      </c>
      <c r="BF6" s="43">
        <f t="shared" si="20"/>
        <v>1.0221702830502828</v>
      </c>
      <c r="BG6" s="43">
        <f t="shared" si="21"/>
        <v>6.3885642690642674</v>
      </c>
      <c r="BH6" s="6" t="str">
        <f t="shared" si="10"/>
        <v>Сырой протеин</v>
      </c>
    </row>
    <row r="7" spans="1:60" ht="30" x14ac:dyDescent="0.25">
      <c r="H7" s="6" t="s">
        <v>9</v>
      </c>
      <c r="I7" s="1">
        <f t="shared" si="22"/>
        <v>0.75</v>
      </c>
      <c r="J7" s="1">
        <f t="shared" si="23"/>
        <v>0</v>
      </c>
      <c r="K7" s="37">
        <f t="shared" si="24"/>
        <v>0.20041907092907099</v>
      </c>
      <c r="L7" s="1">
        <f t="shared" si="25"/>
        <v>0</v>
      </c>
      <c r="M7" s="1">
        <f t="shared" si="26"/>
        <v>0</v>
      </c>
      <c r="N7" s="1">
        <f t="shared" si="27"/>
        <v>0</v>
      </c>
      <c r="O7" s="1">
        <f t="shared" si="28"/>
        <v>0</v>
      </c>
      <c r="P7" s="1">
        <f t="shared" si="29"/>
        <v>0</v>
      </c>
      <c r="Q7" s="37">
        <f t="shared" si="30"/>
        <v>6.2800000000000009E-2</v>
      </c>
      <c r="R7" s="37">
        <f t="shared" si="31"/>
        <v>0.10099999999999999</v>
      </c>
      <c r="S7" s="1">
        <f t="shared" si="32"/>
        <v>0</v>
      </c>
      <c r="T7" s="1">
        <f t="shared" si="33"/>
        <v>0</v>
      </c>
      <c r="U7" s="1">
        <f t="shared" si="34"/>
        <v>0</v>
      </c>
      <c r="V7" s="1">
        <f t="shared" si="35"/>
        <v>0</v>
      </c>
      <c r="W7" s="37">
        <f t="shared" si="36"/>
        <v>0.13300000000000001</v>
      </c>
      <c r="X7" s="37">
        <f t="shared" si="37"/>
        <v>2.7200000000000002E-2</v>
      </c>
      <c r="AB7" s="38">
        <v>0.27</v>
      </c>
      <c r="AH7" s="1">
        <f t="shared" si="13"/>
        <v>0.79441907092907105</v>
      </c>
      <c r="AI7" s="37">
        <f t="shared" si="14"/>
        <v>0.75</v>
      </c>
      <c r="AJ7" s="37">
        <f t="shared" si="15"/>
        <v>4.4419070929071047E-2</v>
      </c>
      <c r="AK7" s="37">
        <f t="shared" si="16"/>
        <v>5.9225427905428063</v>
      </c>
      <c r="AL7" s="6" t="str">
        <f t="shared" si="38"/>
        <v>лизин</v>
      </c>
      <c r="AN7" s="20" t="str">
        <f t="shared" si="7"/>
        <v>лизин</v>
      </c>
      <c r="AO7" s="20">
        <f t="shared" si="12"/>
        <v>0.75</v>
      </c>
      <c r="AP7" s="20">
        <f t="shared" si="8"/>
        <v>0</v>
      </c>
      <c r="AQ7" s="45">
        <f t="shared" si="17"/>
        <v>0.20041907092907099</v>
      </c>
      <c r="AR7" s="20">
        <f t="shared" si="17"/>
        <v>0</v>
      </c>
      <c r="AS7" s="45">
        <f>Q7</f>
        <v>6.2800000000000009E-2</v>
      </c>
      <c r="AT7" s="45">
        <f t="shared" si="18"/>
        <v>0.10099999999999999</v>
      </c>
      <c r="AU7" s="43">
        <f t="shared" si="18"/>
        <v>0</v>
      </c>
      <c r="AV7" s="43">
        <f t="shared" si="39"/>
        <v>0.13300000000000001</v>
      </c>
      <c r="AW7" s="43">
        <f t="shared" si="39"/>
        <v>2.7200000000000002E-2</v>
      </c>
      <c r="AX7" s="43">
        <f t="shared" si="39"/>
        <v>0</v>
      </c>
      <c r="AY7" s="43">
        <f t="shared" si="4"/>
        <v>0</v>
      </c>
      <c r="AZ7" s="43">
        <f t="shared" si="5"/>
        <v>0.27</v>
      </c>
      <c r="BA7" s="43">
        <f t="shared" si="19"/>
        <v>0</v>
      </c>
      <c r="BB7" s="43">
        <f t="shared" si="19"/>
        <v>0</v>
      </c>
      <c r="BC7" s="43">
        <f t="shared" si="19"/>
        <v>0</v>
      </c>
      <c r="BD7" s="43">
        <f t="shared" si="9"/>
        <v>0</v>
      </c>
      <c r="BE7" s="50">
        <f>AH7</f>
        <v>0.79441907092907105</v>
      </c>
      <c r="BF7" s="43">
        <f t="shared" si="20"/>
        <v>4.4419070929071047E-2</v>
      </c>
      <c r="BG7" s="43">
        <f t="shared" si="21"/>
        <v>5.9225427905428063</v>
      </c>
      <c r="BH7" s="6" t="str">
        <f t="shared" si="10"/>
        <v>лизин</v>
      </c>
    </row>
    <row r="8" spans="1:60" ht="12.75" customHeight="1" x14ac:dyDescent="0.25">
      <c r="H8" s="6" t="s">
        <v>40</v>
      </c>
      <c r="I8" s="1">
        <f t="shared" si="22"/>
        <v>0.62</v>
      </c>
      <c r="J8" s="1">
        <f t="shared" si="23"/>
        <v>0</v>
      </c>
      <c r="K8" s="37">
        <f t="shared" si="24"/>
        <v>0.22714161371961378</v>
      </c>
      <c r="L8" s="1">
        <f t="shared" si="25"/>
        <v>0</v>
      </c>
      <c r="M8" s="1">
        <f t="shared" si="26"/>
        <v>0</v>
      </c>
      <c r="N8" s="1">
        <f t="shared" si="27"/>
        <v>0</v>
      </c>
      <c r="O8" s="1">
        <f t="shared" si="28"/>
        <v>0</v>
      </c>
      <c r="P8" s="1">
        <f t="shared" si="29"/>
        <v>0</v>
      </c>
      <c r="Q8" s="37">
        <f t="shared" si="30"/>
        <v>0.14319999999999999</v>
      </c>
      <c r="R8" s="37">
        <f t="shared" si="31"/>
        <v>5.7000000000000002E-2</v>
      </c>
      <c r="S8" s="1">
        <f t="shared" si="32"/>
        <v>0</v>
      </c>
      <c r="T8" s="1">
        <f t="shared" si="33"/>
        <v>0</v>
      </c>
      <c r="U8" s="1">
        <f t="shared" si="34"/>
        <v>0</v>
      </c>
      <c r="V8" s="1">
        <f t="shared" si="35"/>
        <v>0</v>
      </c>
      <c r="W8" s="37">
        <f t="shared" si="36"/>
        <v>0.14299999999999999</v>
      </c>
      <c r="X8" s="37">
        <f t="shared" si="37"/>
        <v>1.2800000000000001E-2</v>
      </c>
      <c r="AC8" s="38">
        <v>7.0000000000000007E-2</v>
      </c>
      <c r="AH8" s="1">
        <f t="shared" si="13"/>
        <v>0.65314161371961377</v>
      </c>
      <c r="AI8" s="37">
        <f t="shared" si="14"/>
        <v>0.62</v>
      </c>
      <c r="AJ8" s="37">
        <f t="shared" si="15"/>
        <v>3.3141613719613772E-2</v>
      </c>
      <c r="AK8" s="37">
        <f t="shared" si="16"/>
        <v>5.3454215676796402</v>
      </c>
      <c r="AL8" s="6" t="str">
        <f t="shared" si="38"/>
        <v>метионин+цистин</v>
      </c>
      <c r="AN8" s="20" t="str">
        <f t="shared" si="7"/>
        <v>метионин+цистин</v>
      </c>
      <c r="AO8" s="20">
        <f t="shared" si="12"/>
        <v>0.62</v>
      </c>
      <c r="AP8" s="20">
        <f t="shared" si="8"/>
        <v>0</v>
      </c>
      <c r="AQ8" s="45">
        <f t="shared" si="17"/>
        <v>0.22714161371961378</v>
      </c>
      <c r="AR8" s="20">
        <f t="shared" si="17"/>
        <v>0</v>
      </c>
      <c r="AS8" s="45">
        <f>Q8</f>
        <v>0.14319999999999999</v>
      </c>
      <c r="AT8" s="45">
        <f t="shared" si="18"/>
        <v>5.7000000000000002E-2</v>
      </c>
      <c r="AU8" s="43">
        <f t="shared" si="18"/>
        <v>0</v>
      </c>
      <c r="AV8" s="43">
        <f t="shared" si="39"/>
        <v>0.14299999999999999</v>
      </c>
      <c r="AW8" s="43">
        <f t="shared" si="39"/>
        <v>1.2800000000000001E-2</v>
      </c>
      <c r="AX8" s="43">
        <f t="shared" si="39"/>
        <v>0</v>
      </c>
      <c r="AY8" s="43">
        <f t="shared" si="4"/>
        <v>0</v>
      </c>
      <c r="AZ8" s="43">
        <f t="shared" si="5"/>
        <v>0</v>
      </c>
      <c r="BA8" s="43">
        <f t="shared" si="19"/>
        <v>7.0000000000000007E-2</v>
      </c>
      <c r="BB8" s="43">
        <f t="shared" si="19"/>
        <v>0</v>
      </c>
      <c r="BC8" s="43">
        <f t="shared" si="19"/>
        <v>0</v>
      </c>
      <c r="BD8" s="43">
        <f t="shared" si="9"/>
        <v>0</v>
      </c>
      <c r="BE8" s="50">
        <f>AH8</f>
        <v>0.65314161371961377</v>
      </c>
      <c r="BF8" s="43">
        <f t="shared" si="20"/>
        <v>3.3141613719613772E-2</v>
      </c>
      <c r="BG8" s="43">
        <f t="shared" si="21"/>
        <v>5.3454215676796402</v>
      </c>
      <c r="BH8" s="6" t="str">
        <f t="shared" si="10"/>
        <v>метионин+цистин</v>
      </c>
    </row>
    <row r="9" spans="1:60" ht="12" customHeight="1" x14ac:dyDescent="0.25">
      <c r="H9" s="6" t="s">
        <v>41</v>
      </c>
      <c r="I9" s="1">
        <f t="shared" si="22"/>
        <v>0.16</v>
      </c>
      <c r="J9" s="1">
        <f t="shared" si="23"/>
        <v>0</v>
      </c>
      <c r="K9" s="37">
        <f t="shared" si="24"/>
        <v>0.1002095354645355</v>
      </c>
      <c r="L9" s="1">
        <f t="shared" si="25"/>
        <v>0</v>
      </c>
      <c r="M9" s="1">
        <f t="shared" si="26"/>
        <v>0</v>
      </c>
      <c r="N9" s="1">
        <f t="shared" si="27"/>
        <v>0</v>
      </c>
      <c r="O9" s="1">
        <f t="shared" si="28"/>
        <v>0</v>
      </c>
      <c r="P9" s="1">
        <f t="shared" si="29"/>
        <v>0</v>
      </c>
      <c r="Q9" s="37">
        <f t="shared" si="30"/>
        <v>1.6E-2</v>
      </c>
      <c r="R9" s="37">
        <f t="shared" si="31"/>
        <v>1.3000000000000001E-2</v>
      </c>
      <c r="S9" s="1">
        <f t="shared" si="32"/>
        <v>0</v>
      </c>
      <c r="T9" s="1">
        <f t="shared" si="33"/>
        <v>0</v>
      </c>
      <c r="U9" s="1">
        <f t="shared" si="34"/>
        <v>0</v>
      </c>
      <c r="V9" s="1">
        <f t="shared" si="35"/>
        <v>0</v>
      </c>
      <c r="W9" s="37">
        <f t="shared" si="36"/>
        <v>4.6000000000000006E-2</v>
      </c>
      <c r="X9" s="37">
        <f t="shared" si="37"/>
        <v>9.5999999999999992E-3</v>
      </c>
      <c r="AH9" s="1">
        <f t="shared" si="13"/>
        <v>0.18480953546453552</v>
      </c>
      <c r="AI9" s="37">
        <f t="shared" si="14"/>
        <v>0.16</v>
      </c>
      <c r="AJ9" s="37">
        <f t="shared" si="15"/>
        <v>2.4809535464535515E-2</v>
      </c>
      <c r="AK9" s="37">
        <f t="shared" si="16"/>
        <v>15.505959665334695</v>
      </c>
      <c r="AL9" s="6" t="str">
        <f t="shared" si="38"/>
        <v>триптофан</v>
      </c>
      <c r="AN9" s="20" t="str">
        <f t="shared" si="7"/>
        <v>триптофан</v>
      </c>
      <c r="AO9" s="20">
        <f t="shared" si="12"/>
        <v>0.16</v>
      </c>
      <c r="AP9" s="20">
        <f t="shared" si="8"/>
        <v>0</v>
      </c>
      <c r="AQ9" s="45">
        <f t="shared" si="17"/>
        <v>0.1002095354645355</v>
      </c>
      <c r="AR9" s="20">
        <f t="shared" si="17"/>
        <v>0</v>
      </c>
      <c r="AS9" s="45">
        <f>Q9</f>
        <v>1.6E-2</v>
      </c>
      <c r="AT9" s="45">
        <f t="shared" si="18"/>
        <v>1.3000000000000001E-2</v>
      </c>
      <c r="AU9" s="43">
        <f t="shared" si="18"/>
        <v>0</v>
      </c>
      <c r="AV9" s="43">
        <f t="shared" si="39"/>
        <v>4.6000000000000006E-2</v>
      </c>
      <c r="AW9" s="43">
        <f t="shared" si="39"/>
        <v>9.5999999999999992E-3</v>
      </c>
      <c r="AX9" s="43">
        <f t="shared" si="39"/>
        <v>0</v>
      </c>
      <c r="AY9" s="43">
        <f t="shared" si="4"/>
        <v>0</v>
      </c>
      <c r="AZ9" s="43">
        <f t="shared" si="5"/>
        <v>0</v>
      </c>
      <c r="BA9" s="43">
        <f t="shared" si="19"/>
        <v>0</v>
      </c>
      <c r="BB9" s="43">
        <f t="shared" si="19"/>
        <v>0</v>
      </c>
      <c r="BC9" s="43">
        <f t="shared" si="19"/>
        <v>0</v>
      </c>
      <c r="BD9" s="43">
        <f t="shared" si="9"/>
        <v>0</v>
      </c>
      <c r="BE9" s="50">
        <f>AH9</f>
        <v>0.18480953546453552</v>
      </c>
      <c r="BF9" s="43">
        <f t="shared" si="20"/>
        <v>2.4809535464535515E-2</v>
      </c>
      <c r="BG9" s="43">
        <f t="shared" si="21"/>
        <v>15.505959665334695</v>
      </c>
      <c r="BH9" s="6" t="str">
        <f t="shared" si="10"/>
        <v>триптофан</v>
      </c>
    </row>
    <row r="10" spans="1:60" ht="30" x14ac:dyDescent="0.25">
      <c r="H10" s="6" t="s">
        <v>42</v>
      </c>
      <c r="I10" s="1">
        <f t="shared" si="22"/>
        <v>0.85</v>
      </c>
      <c r="J10" s="1">
        <f t="shared" si="23"/>
        <v>0</v>
      </c>
      <c r="K10" s="37">
        <f t="shared" si="24"/>
        <v>0.36743496336996351</v>
      </c>
      <c r="L10" s="1">
        <f t="shared" si="25"/>
        <v>0</v>
      </c>
      <c r="M10" s="1">
        <f t="shared" si="26"/>
        <v>0</v>
      </c>
      <c r="N10" s="1">
        <f t="shared" si="27"/>
        <v>0</v>
      </c>
      <c r="O10" s="1">
        <f t="shared" si="28"/>
        <v>0</v>
      </c>
      <c r="P10" s="1">
        <f t="shared" si="29"/>
        <v>0</v>
      </c>
      <c r="Q10" s="37">
        <f t="shared" si="30"/>
        <v>0.25600000000000001</v>
      </c>
      <c r="R10" s="37">
        <f t="shared" si="31"/>
        <v>7.5399999999999995E-2</v>
      </c>
      <c r="S10" s="1">
        <f t="shared" si="32"/>
        <v>0</v>
      </c>
      <c r="T10" s="1">
        <f t="shared" si="33"/>
        <v>0</v>
      </c>
      <c r="U10" s="1">
        <f t="shared" si="34"/>
        <v>0</v>
      </c>
      <c r="V10" s="1">
        <f t="shared" si="35"/>
        <v>0</v>
      </c>
      <c r="W10" s="37">
        <f t="shared" si="36"/>
        <v>0.30199999999999999</v>
      </c>
      <c r="X10" s="37">
        <f t="shared" si="37"/>
        <v>2.5600000000000001E-2</v>
      </c>
      <c r="AH10" s="1">
        <f t="shared" si="13"/>
        <v>1.0264349633699636</v>
      </c>
      <c r="AI10" s="37">
        <f t="shared" si="14"/>
        <v>0.85</v>
      </c>
      <c r="AJ10" s="37">
        <f t="shared" si="15"/>
        <v>0.17643496336996367</v>
      </c>
      <c r="AK10" s="37">
        <f t="shared" si="16"/>
        <v>20.757054514113374</v>
      </c>
      <c r="AL10" s="6" t="str">
        <f t="shared" si="38"/>
        <v>аргинин</v>
      </c>
      <c r="AN10" s="46" t="s">
        <v>11</v>
      </c>
      <c r="AO10" s="20">
        <f>I16</f>
        <v>0.5</v>
      </c>
      <c r="AP10" s="20">
        <f>J16</f>
        <v>0</v>
      </c>
      <c r="AQ10" s="45">
        <f>K16</f>
        <v>0.20041907092907099</v>
      </c>
      <c r="AR10" s="20">
        <f>L16</f>
        <v>0</v>
      </c>
      <c r="AS10" s="45">
        <f>Q16</f>
        <v>0.15679999999999999</v>
      </c>
      <c r="AT10" s="45">
        <f>R16</f>
        <v>5.4199999999999998E-2</v>
      </c>
      <c r="AU10" s="43">
        <f>S16</f>
        <v>0</v>
      </c>
      <c r="AV10" s="43">
        <f>W16</f>
        <v>0.14000000000000001</v>
      </c>
      <c r="AW10" s="43">
        <f>X16</f>
        <v>2.4E-2</v>
      </c>
      <c r="AX10" s="43">
        <f>Y16</f>
        <v>0</v>
      </c>
      <c r="AY10" s="43">
        <f>Z16</f>
        <v>0</v>
      </c>
      <c r="AZ10" s="43">
        <f>AB16</f>
        <v>0</v>
      </c>
      <c r="BA10" s="43">
        <f>AC16</f>
        <v>0</v>
      </c>
      <c r="BB10" s="43">
        <f>AD16</f>
        <v>0</v>
      </c>
      <c r="BC10" s="43">
        <f>AE16</f>
        <v>0</v>
      </c>
      <c r="BD10" s="43">
        <f>AG16</f>
        <v>0</v>
      </c>
      <c r="BE10" s="50">
        <f>AH16</f>
        <v>0.57541907092907107</v>
      </c>
      <c r="BF10" s="43">
        <f t="shared" si="20"/>
        <v>0.17643496336996367</v>
      </c>
      <c r="BG10" s="43">
        <f t="shared" si="21"/>
        <v>20.757054514113374</v>
      </c>
      <c r="BH10" s="6" t="str">
        <f t="shared" si="10"/>
        <v>треонин</v>
      </c>
    </row>
    <row r="11" spans="1:60" ht="30" x14ac:dyDescent="0.25">
      <c r="H11" s="6" t="s">
        <v>43</v>
      </c>
      <c r="I11" s="1">
        <f t="shared" si="22"/>
        <v>0.32</v>
      </c>
      <c r="J11" s="1">
        <f t="shared" si="23"/>
        <v>0</v>
      </c>
      <c r="K11" s="37">
        <f t="shared" si="24"/>
        <v>0.15365462104562108</v>
      </c>
      <c r="L11" s="1">
        <f t="shared" si="25"/>
        <v>0</v>
      </c>
      <c r="M11" s="1">
        <f t="shared" si="26"/>
        <v>0</v>
      </c>
      <c r="N11" s="1">
        <f t="shared" si="27"/>
        <v>0</v>
      </c>
      <c r="O11" s="1">
        <f t="shared" si="28"/>
        <v>0</v>
      </c>
      <c r="P11" s="1">
        <f t="shared" si="29"/>
        <v>0</v>
      </c>
      <c r="Q11" s="37">
        <f t="shared" si="30"/>
        <v>1.3999999999999999E-2</v>
      </c>
      <c r="R11" s="37">
        <f t="shared" si="31"/>
        <v>2.76E-2</v>
      </c>
      <c r="S11" s="1">
        <f t="shared" si="32"/>
        <v>0</v>
      </c>
      <c r="T11" s="1">
        <f t="shared" si="33"/>
        <v>0</v>
      </c>
      <c r="U11" s="1">
        <f t="shared" si="34"/>
        <v>0</v>
      </c>
      <c r="V11" s="1">
        <f t="shared" si="35"/>
        <v>0</v>
      </c>
      <c r="W11" s="37">
        <f t="shared" si="36"/>
        <v>9.8000000000000004E-2</v>
      </c>
      <c r="X11" s="37">
        <f t="shared" si="37"/>
        <v>1.04E-2</v>
      </c>
      <c r="AH11" s="1">
        <f t="shared" si="13"/>
        <v>0.30365462104562108</v>
      </c>
      <c r="AI11" s="37">
        <f t="shared" si="14"/>
        <v>0.32</v>
      </c>
      <c r="AJ11" s="37">
        <f t="shared" si="15"/>
        <v>-1.6345378954378931E-2</v>
      </c>
      <c r="AK11" s="37">
        <f t="shared" si="16"/>
        <v>-5.1079309232434156</v>
      </c>
      <c r="AL11" s="6" t="str">
        <f t="shared" si="38"/>
        <v>гистидин</v>
      </c>
      <c r="AN11" s="46" t="s">
        <v>50</v>
      </c>
      <c r="AO11" s="20">
        <f t="shared" ref="AO11:AO16" si="40">I19</f>
        <v>5</v>
      </c>
      <c r="AP11" s="20">
        <f t="shared" ref="AP11:AV11" si="41">J19</f>
        <v>0</v>
      </c>
      <c r="AQ11" s="45">
        <f t="shared" si="41"/>
        <v>1.8037716383616391</v>
      </c>
      <c r="AR11" s="20">
        <f t="shared" si="41"/>
        <v>0</v>
      </c>
      <c r="AS11" s="20">
        <f t="shared" si="41"/>
        <v>0</v>
      </c>
      <c r="AT11" s="20">
        <f t="shared" si="41"/>
        <v>0</v>
      </c>
      <c r="AU11" s="20">
        <f t="shared" si="41"/>
        <v>0</v>
      </c>
      <c r="AV11" s="20">
        <f t="shared" si="41"/>
        <v>0</v>
      </c>
      <c r="AW11" s="43">
        <f t="shared" ref="AW11:AW16" si="42">X19</f>
        <v>0.96</v>
      </c>
      <c r="AX11" s="20">
        <f t="shared" ref="AX11:BC16" si="43">Q19</f>
        <v>0</v>
      </c>
      <c r="AY11" s="20">
        <f t="shared" si="43"/>
        <v>0</v>
      </c>
      <c r="AZ11" s="20">
        <f t="shared" si="43"/>
        <v>0</v>
      </c>
      <c r="BA11" s="20">
        <f t="shared" si="43"/>
        <v>0</v>
      </c>
      <c r="BB11" s="20">
        <f t="shared" si="43"/>
        <v>0</v>
      </c>
      <c r="BC11" s="20">
        <f t="shared" si="43"/>
        <v>0</v>
      </c>
      <c r="BD11" s="20">
        <f t="shared" ref="BD11:BE16" si="44">AG19</f>
        <v>0</v>
      </c>
      <c r="BE11" s="50">
        <f t="shared" si="44"/>
        <v>4.1737716383616394</v>
      </c>
      <c r="BF11" s="43">
        <f t="shared" si="20"/>
        <v>-1.6345378954378931E-2</v>
      </c>
      <c r="BG11" s="43">
        <f t="shared" si="21"/>
        <v>-5.1079309232434156</v>
      </c>
      <c r="BH11" s="6" t="str">
        <f t="shared" si="10"/>
        <v>Сырая клетчатка</v>
      </c>
    </row>
    <row r="12" spans="1:60" ht="30" x14ac:dyDescent="0.25">
      <c r="H12" s="6" t="s">
        <v>44</v>
      </c>
      <c r="I12" s="1">
        <f t="shared" si="22"/>
        <v>1.28</v>
      </c>
      <c r="J12" s="1">
        <f t="shared" si="23"/>
        <v>0</v>
      </c>
      <c r="K12" s="37">
        <f t="shared" si="24"/>
        <v>0.50104767732267741</v>
      </c>
      <c r="L12" s="1">
        <f t="shared" si="25"/>
        <v>0</v>
      </c>
      <c r="M12" s="1">
        <f t="shared" si="26"/>
        <v>0</v>
      </c>
      <c r="N12" s="1">
        <f t="shared" si="27"/>
        <v>0</v>
      </c>
      <c r="O12" s="1">
        <f t="shared" si="28"/>
        <v>0</v>
      </c>
      <c r="P12" s="1">
        <f t="shared" si="29"/>
        <v>0</v>
      </c>
      <c r="Q12" s="37">
        <f t="shared" si="30"/>
        <v>0.28320000000000001</v>
      </c>
      <c r="R12" s="37">
        <f t="shared" si="31"/>
        <v>8.8800000000000004E-2</v>
      </c>
      <c r="S12" s="1">
        <f t="shared" si="32"/>
        <v>0</v>
      </c>
      <c r="T12" s="1">
        <f t="shared" si="33"/>
        <v>0</v>
      </c>
      <c r="U12" s="1">
        <f t="shared" si="34"/>
        <v>0</v>
      </c>
      <c r="V12" s="1">
        <f t="shared" si="35"/>
        <v>0</v>
      </c>
      <c r="W12" s="37">
        <f t="shared" si="36"/>
        <v>0.24</v>
      </c>
      <c r="X12" s="37">
        <f t="shared" si="37"/>
        <v>3.7599999999999995E-2</v>
      </c>
      <c r="AH12" s="1">
        <f t="shared" si="13"/>
        <v>1.1506476773226775</v>
      </c>
      <c r="AI12" s="37">
        <f t="shared" si="14"/>
        <v>1.28</v>
      </c>
      <c r="AJ12" s="37">
        <f t="shared" si="15"/>
        <v>-0.12935232267732255</v>
      </c>
      <c r="AK12" s="37">
        <f t="shared" si="16"/>
        <v>-10.105650209165825</v>
      </c>
      <c r="AL12" s="6" t="str">
        <f t="shared" si="38"/>
        <v>лейцин</v>
      </c>
      <c r="AN12" s="46" t="s">
        <v>14</v>
      </c>
      <c r="AO12" s="20">
        <f t="shared" si="40"/>
        <v>3.8</v>
      </c>
      <c r="AP12" s="20">
        <f t="shared" ref="AP12:AV16" si="45">J20</f>
        <v>0</v>
      </c>
      <c r="AQ12" s="45">
        <f t="shared" si="45"/>
        <v>2.67225427905428E-2</v>
      </c>
      <c r="AR12" s="20">
        <f t="shared" si="45"/>
        <v>0</v>
      </c>
      <c r="AS12" s="20">
        <f t="shared" si="45"/>
        <v>0</v>
      </c>
      <c r="AT12" s="20">
        <f t="shared" si="45"/>
        <v>0</v>
      </c>
      <c r="AU12" s="20">
        <f t="shared" si="45"/>
        <v>0</v>
      </c>
      <c r="AV12" s="20">
        <f t="shared" si="45"/>
        <v>0</v>
      </c>
      <c r="AW12" s="43">
        <f t="shared" si="42"/>
        <v>4.0399999999999998E-2</v>
      </c>
      <c r="AX12" s="45">
        <f t="shared" si="43"/>
        <v>2.4E-2</v>
      </c>
      <c r="AY12" s="45">
        <f t="shared" si="43"/>
        <v>0.09</v>
      </c>
      <c r="AZ12" s="20">
        <f t="shared" si="43"/>
        <v>0</v>
      </c>
      <c r="BA12" s="20">
        <f t="shared" si="43"/>
        <v>0</v>
      </c>
      <c r="BB12" s="20">
        <f t="shared" si="43"/>
        <v>0</v>
      </c>
      <c r="BC12" s="20">
        <f t="shared" si="43"/>
        <v>0</v>
      </c>
      <c r="BD12" s="20">
        <f t="shared" si="44"/>
        <v>0</v>
      </c>
      <c r="BE12" s="50">
        <f t="shared" si="44"/>
        <v>3.6397892094572097</v>
      </c>
      <c r="BF12" s="43">
        <f t="shared" si="20"/>
        <v>-0.12935232267732255</v>
      </c>
      <c r="BG12" s="43">
        <f t="shared" si="21"/>
        <v>-10.105650209165825</v>
      </c>
      <c r="BH12" s="6" t="str">
        <f t="shared" si="10"/>
        <v>Кальций</v>
      </c>
    </row>
    <row r="13" spans="1:60" ht="14.25" customHeight="1" x14ac:dyDescent="0.25">
      <c r="H13" s="6" t="s">
        <v>45</v>
      </c>
      <c r="I13" s="1">
        <f t="shared" si="22"/>
        <v>0.62</v>
      </c>
      <c r="J13" s="1">
        <f t="shared" si="23"/>
        <v>0</v>
      </c>
      <c r="K13" s="37">
        <f t="shared" si="24"/>
        <v>0.28058669930069935</v>
      </c>
      <c r="L13" s="1">
        <f t="shared" si="25"/>
        <v>0</v>
      </c>
      <c r="M13" s="1">
        <f t="shared" si="26"/>
        <v>0</v>
      </c>
      <c r="N13" s="1">
        <f t="shared" si="27"/>
        <v>0</v>
      </c>
      <c r="O13" s="1">
        <f t="shared" si="28"/>
        <v>0</v>
      </c>
      <c r="P13" s="1">
        <f t="shared" si="29"/>
        <v>0</v>
      </c>
      <c r="Q13" s="37">
        <f t="shared" si="30"/>
        <v>0.184</v>
      </c>
      <c r="R13" s="37">
        <f t="shared" si="31"/>
        <v>5.5199999999999999E-2</v>
      </c>
      <c r="S13" s="1">
        <f t="shared" si="32"/>
        <v>0</v>
      </c>
      <c r="T13" s="1">
        <f t="shared" si="33"/>
        <v>0</v>
      </c>
      <c r="U13" s="1">
        <f t="shared" si="34"/>
        <v>0</v>
      </c>
      <c r="V13" s="1">
        <f t="shared" si="35"/>
        <v>0</v>
      </c>
      <c r="W13" s="37">
        <f t="shared" si="36"/>
        <v>0.17</v>
      </c>
      <c r="X13" s="37">
        <f t="shared" si="37"/>
        <v>2.3599999999999999E-2</v>
      </c>
      <c r="AH13" s="1">
        <f t="shared" si="13"/>
        <v>0.71338669930069931</v>
      </c>
      <c r="AI13" s="37">
        <f t="shared" si="14"/>
        <v>0.62</v>
      </c>
      <c r="AJ13" s="37">
        <f t="shared" si="15"/>
        <v>9.3386699300699316E-2</v>
      </c>
      <c r="AK13" s="37">
        <f t="shared" si="16"/>
        <v>15.062370854951505</v>
      </c>
      <c r="AL13" s="6" t="str">
        <f t="shared" si="38"/>
        <v>изолейцин</v>
      </c>
      <c r="AN13" s="20" t="str">
        <f>H21</f>
        <v>Фосфор общий</v>
      </c>
      <c r="AO13" s="20">
        <f t="shared" si="40"/>
        <v>0.6</v>
      </c>
      <c r="AP13" s="20">
        <f t="shared" si="45"/>
        <v>0</v>
      </c>
      <c r="AQ13" s="45">
        <f t="shared" si="45"/>
        <v>0.20041907092907099</v>
      </c>
      <c r="AR13" s="20">
        <f t="shared" si="45"/>
        <v>0</v>
      </c>
      <c r="AS13" s="20">
        <f t="shared" si="45"/>
        <v>0</v>
      </c>
      <c r="AT13" s="20">
        <f t="shared" si="45"/>
        <v>0</v>
      </c>
      <c r="AU13" s="20">
        <f t="shared" si="45"/>
        <v>0</v>
      </c>
      <c r="AV13" s="20">
        <f t="shared" si="45"/>
        <v>0</v>
      </c>
      <c r="AW13" s="43">
        <f t="shared" si="42"/>
        <v>8.3999999999999995E-3</v>
      </c>
      <c r="AX13" s="45">
        <f t="shared" si="43"/>
        <v>2.2400000000000003E-2</v>
      </c>
      <c r="AY13" s="45">
        <f t="shared" si="43"/>
        <v>5.4000000000000006E-2</v>
      </c>
      <c r="AZ13" s="20">
        <f t="shared" si="43"/>
        <v>0</v>
      </c>
      <c r="BA13" s="20">
        <f t="shared" si="43"/>
        <v>0</v>
      </c>
      <c r="BB13" s="20">
        <f t="shared" si="43"/>
        <v>0</v>
      </c>
      <c r="BC13" s="20">
        <f t="shared" si="43"/>
        <v>0</v>
      </c>
      <c r="BD13" s="20">
        <f t="shared" si="44"/>
        <v>0</v>
      </c>
      <c r="BE13" s="50">
        <f t="shared" si="44"/>
        <v>0.63288573759573774</v>
      </c>
      <c r="BF13" s="43">
        <f t="shared" si="20"/>
        <v>9.3386699300699316E-2</v>
      </c>
      <c r="BG13" s="43">
        <f t="shared" si="21"/>
        <v>15.062370854951505</v>
      </c>
      <c r="BH13" s="6" t="str">
        <f t="shared" si="10"/>
        <v>Фосфор общий</v>
      </c>
    </row>
    <row r="14" spans="1:60" ht="16.5" customHeight="1" x14ac:dyDescent="0.25">
      <c r="H14" s="6" t="s">
        <v>46</v>
      </c>
      <c r="I14" s="1">
        <f t="shared" si="22"/>
        <v>0.51</v>
      </c>
      <c r="J14" s="1">
        <f t="shared" si="23"/>
        <v>0</v>
      </c>
      <c r="K14" s="37">
        <f t="shared" si="24"/>
        <v>0.33403178488178498</v>
      </c>
      <c r="L14" s="1">
        <f t="shared" si="25"/>
        <v>0</v>
      </c>
      <c r="M14" s="1">
        <f t="shared" si="26"/>
        <v>0</v>
      </c>
      <c r="N14" s="1">
        <f t="shared" si="27"/>
        <v>0</v>
      </c>
      <c r="O14" s="1">
        <f t="shared" si="28"/>
        <v>0</v>
      </c>
      <c r="P14" s="1">
        <f t="shared" si="29"/>
        <v>0</v>
      </c>
      <c r="Q14" s="37">
        <f t="shared" si="30"/>
        <v>0.16</v>
      </c>
      <c r="R14" s="37">
        <f t="shared" si="31"/>
        <v>5.4199999999999998E-2</v>
      </c>
      <c r="S14" s="1">
        <f t="shared" si="32"/>
        <v>0</v>
      </c>
      <c r="T14" s="1">
        <f t="shared" si="33"/>
        <v>0</v>
      </c>
      <c r="U14" s="1">
        <f t="shared" si="34"/>
        <v>0</v>
      </c>
      <c r="V14" s="1">
        <f t="shared" si="35"/>
        <v>0</v>
      </c>
      <c r="W14" s="37">
        <f t="shared" si="36"/>
        <v>0.18</v>
      </c>
      <c r="X14" s="37">
        <f t="shared" si="37"/>
        <v>2.4E-2</v>
      </c>
      <c r="AH14" s="1">
        <f t="shared" si="13"/>
        <v>0.75223178488178499</v>
      </c>
      <c r="AI14" s="37">
        <f t="shared" si="14"/>
        <v>0.51</v>
      </c>
      <c r="AJ14" s="37">
        <f t="shared" si="15"/>
        <v>0.24223178488178498</v>
      </c>
      <c r="AK14" s="37">
        <f t="shared" si="16"/>
        <v>47.496428408193132</v>
      </c>
      <c r="AL14" s="6" t="str">
        <f t="shared" si="38"/>
        <v>ф/а</v>
      </c>
      <c r="AN14" s="20" t="str">
        <f>H22</f>
        <v>доступный</v>
      </c>
      <c r="AO14" s="20">
        <f t="shared" si="40"/>
        <v>0.34</v>
      </c>
      <c r="AP14" s="20">
        <f t="shared" si="45"/>
        <v>0</v>
      </c>
      <c r="AQ14" s="45">
        <f t="shared" si="45"/>
        <v>6.0125721278721296E-2</v>
      </c>
      <c r="AR14" s="20">
        <f t="shared" si="45"/>
        <v>0</v>
      </c>
      <c r="AS14" s="20">
        <f t="shared" si="45"/>
        <v>0</v>
      </c>
      <c r="AT14" s="20">
        <f t="shared" si="45"/>
        <v>0</v>
      </c>
      <c r="AU14" s="20">
        <f t="shared" si="45"/>
        <v>0</v>
      </c>
      <c r="AV14" s="20">
        <f t="shared" si="45"/>
        <v>0</v>
      </c>
      <c r="AW14" s="43">
        <f t="shared" si="42"/>
        <v>4.0000000000000001E-3</v>
      </c>
      <c r="AX14" s="20">
        <f t="shared" si="43"/>
        <v>0.02</v>
      </c>
      <c r="AY14" s="20">
        <f t="shared" si="43"/>
        <v>5.2999999999999999E-2</v>
      </c>
      <c r="AZ14" s="20">
        <f t="shared" si="43"/>
        <v>0</v>
      </c>
      <c r="BA14" s="20">
        <f t="shared" si="43"/>
        <v>0</v>
      </c>
      <c r="BB14" s="20">
        <f t="shared" si="43"/>
        <v>0</v>
      </c>
      <c r="BC14" s="20">
        <f t="shared" si="43"/>
        <v>0</v>
      </c>
      <c r="BD14" s="20">
        <f t="shared" si="44"/>
        <v>0</v>
      </c>
      <c r="BE14" s="50">
        <f t="shared" si="44"/>
        <v>0.40212572127872126</v>
      </c>
      <c r="BF14" s="43">
        <f t="shared" si="20"/>
        <v>0.24223178488178498</v>
      </c>
      <c r="BG14" s="43">
        <f t="shared" si="21"/>
        <v>47.496428408193132</v>
      </c>
      <c r="BH14" s="6" t="str">
        <f t="shared" si="10"/>
        <v>доступный</v>
      </c>
    </row>
    <row r="15" spans="1:60" ht="30" x14ac:dyDescent="0.25">
      <c r="H15" s="6" t="s">
        <v>47</v>
      </c>
      <c r="I15" s="1">
        <f t="shared" si="22"/>
        <v>0.88</v>
      </c>
      <c r="J15" s="1">
        <f t="shared" si="23"/>
        <v>0</v>
      </c>
      <c r="K15" s="37">
        <f t="shared" si="24"/>
        <v>0.23382224941724947</v>
      </c>
      <c r="L15" s="1">
        <f t="shared" si="25"/>
        <v>0</v>
      </c>
      <c r="M15" s="1">
        <f t="shared" si="26"/>
        <v>0</v>
      </c>
      <c r="N15" s="1">
        <f t="shared" si="27"/>
        <v>0</v>
      </c>
      <c r="O15" s="1">
        <f t="shared" si="28"/>
        <v>0</v>
      </c>
      <c r="P15" s="1">
        <f t="shared" si="29"/>
        <v>0</v>
      </c>
      <c r="Q15" s="37">
        <f t="shared" si="30"/>
        <v>0.08</v>
      </c>
      <c r="R15" s="37">
        <f t="shared" si="31"/>
        <v>3.9599999999999996E-2</v>
      </c>
      <c r="S15" s="1">
        <f t="shared" si="32"/>
        <v>0</v>
      </c>
      <c r="T15" s="1">
        <f t="shared" si="33"/>
        <v>0</v>
      </c>
      <c r="U15" s="1">
        <f t="shared" si="34"/>
        <v>0</v>
      </c>
      <c r="V15" s="1">
        <f t="shared" si="35"/>
        <v>0</v>
      </c>
      <c r="W15" s="37">
        <f t="shared" si="36"/>
        <v>0.115</v>
      </c>
      <c r="X15" s="37">
        <f t="shared" si="37"/>
        <v>1.9599999999999999E-2</v>
      </c>
      <c r="AH15" s="1">
        <f t="shared" si="13"/>
        <v>0.48802224941724942</v>
      </c>
      <c r="AI15" s="37">
        <f t="shared" si="14"/>
        <v>0.88</v>
      </c>
      <c r="AJ15" s="37">
        <f t="shared" si="15"/>
        <v>-0.39197775058275058</v>
      </c>
      <c r="AK15" s="37">
        <f t="shared" si="16"/>
        <v>-44.542926202585292</v>
      </c>
      <c r="AL15" s="6" t="str">
        <f t="shared" si="38"/>
        <v xml:space="preserve"> тир</v>
      </c>
      <c r="AN15" s="20" t="str">
        <f>H23</f>
        <v>натрий</v>
      </c>
      <c r="AO15" s="20">
        <f t="shared" si="40"/>
        <v>0.2</v>
      </c>
      <c r="AP15" s="20">
        <f t="shared" si="45"/>
        <v>0</v>
      </c>
      <c r="AQ15" s="45">
        <f t="shared" si="45"/>
        <v>1.33612713952714E-2</v>
      </c>
      <c r="AR15" s="20">
        <f t="shared" si="45"/>
        <v>0</v>
      </c>
      <c r="AS15" s="20">
        <f t="shared" si="45"/>
        <v>0</v>
      </c>
      <c r="AT15" s="20">
        <f t="shared" si="45"/>
        <v>0</v>
      </c>
      <c r="AU15" s="20">
        <f t="shared" si="45"/>
        <v>0</v>
      </c>
      <c r="AV15" s="20">
        <f t="shared" si="45"/>
        <v>0</v>
      </c>
      <c r="AW15" s="43">
        <f t="shared" si="42"/>
        <v>2.8000000000000004E-3</v>
      </c>
      <c r="AX15" s="20">
        <f t="shared" si="43"/>
        <v>1.44E-2</v>
      </c>
      <c r="AY15" s="20">
        <f t="shared" si="43"/>
        <v>3.0600000000000002E-2</v>
      </c>
      <c r="AZ15" s="20">
        <f t="shared" si="43"/>
        <v>0</v>
      </c>
      <c r="BA15" s="20">
        <f t="shared" si="43"/>
        <v>0</v>
      </c>
      <c r="BB15" s="20">
        <f t="shared" si="43"/>
        <v>0</v>
      </c>
      <c r="BC15" s="20">
        <f t="shared" si="43"/>
        <v>0</v>
      </c>
      <c r="BD15" s="20">
        <f t="shared" si="44"/>
        <v>0</v>
      </c>
      <c r="BE15" s="50">
        <f t="shared" si="44"/>
        <v>0.1991612713952714</v>
      </c>
      <c r="BF15" s="43">
        <f t="shared" si="20"/>
        <v>-0.39197775058275058</v>
      </c>
      <c r="BG15" s="43">
        <f t="shared" si="21"/>
        <v>-44.542926202585292</v>
      </c>
      <c r="BH15" s="6" t="str">
        <f t="shared" si="10"/>
        <v>натрий</v>
      </c>
    </row>
    <row r="16" spans="1:60" ht="30" x14ac:dyDescent="0.25">
      <c r="H16" s="6" t="s">
        <v>11</v>
      </c>
      <c r="I16" s="1">
        <f t="shared" si="22"/>
        <v>0.5</v>
      </c>
      <c r="J16" s="1">
        <f t="shared" si="23"/>
        <v>0</v>
      </c>
      <c r="K16" s="37">
        <f t="shared" si="24"/>
        <v>0.20041907092907099</v>
      </c>
      <c r="L16" s="1">
        <f t="shared" si="25"/>
        <v>0</v>
      </c>
      <c r="M16" s="1">
        <f t="shared" si="26"/>
        <v>0</v>
      </c>
      <c r="N16" s="1">
        <f t="shared" si="27"/>
        <v>0</v>
      </c>
      <c r="O16" s="1">
        <f t="shared" si="28"/>
        <v>0</v>
      </c>
      <c r="P16" s="1">
        <f t="shared" si="29"/>
        <v>0</v>
      </c>
      <c r="Q16" s="37">
        <f t="shared" si="30"/>
        <v>0.15679999999999999</v>
      </c>
      <c r="R16" s="37">
        <f t="shared" si="31"/>
        <v>5.4199999999999998E-2</v>
      </c>
      <c r="S16" s="1">
        <f t="shared" si="32"/>
        <v>0</v>
      </c>
      <c r="T16" s="1">
        <f t="shared" si="33"/>
        <v>0</v>
      </c>
      <c r="U16" s="1">
        <f t="shared" si="34"/>
        <v>0</v>
      </c>
      <c r="V16" s="1">
        <f t="shared" si="35"/>
        <v>0</v>
      </c>
      <c r="W16" s="37">
        <f t="shared" si="36"/>
        <v>0.14000000000000001</v>
      </c>
      <c r="X16" s="37">
        <f t="shared" si="37"/>
        <v>2.4E-2</v>
      </c>
      <c r="AD16" s="38">
        <v>0</v>
      </c>
      <c r="AH16" s="1">
        <f t="shared" si="13"/>
        <v>0.57541907092907107</v>
      </c>
      <c r="AI16" s="37">
        <f t="shared" si="14"/>
        <v>0.5</v>
      </c>
      <c r="AJ16" s="37">
        <f t="shared" si="15"/>
        <v>7.5419070929071075E-2</v>
      </c>
      <c r="AK16" s="37">
        <f t="shared" si="16"/>
        <v>15.083814185814216</v>
      </c>
      <c r="AL16" s="6" t="str">
        <f t="shared" si="38"/>
        <v>треонин</v>
      </c>
      <c r="AN16" s="20" t="str">
        <f>H24</f>
        <v>линолевая кислота</v>
      </c>
      <c r="AO16" s="20">
        <f t="shared" si="40"/>
        <v>1.2</v>
      </c>
      <c r="AP16" s="20">
        <f t="shared" si="45"/>
        <v>0</v>
      </c>
      <c r="AQ16" s="45">
        <f t="shared" si="45"/>
        <v>0.33403178488178498</v>
      </c>
      <c r="AR16" s="20">
        <f t="shared" si="45"/>
        <v>0</v>
      </c>
      <c r="AS16" s="20">
        <f t="shared" si="45"/>
        <v>0</v>
      </c>
      <c r="AT16" s="20">
        <f t="shared" si="45"/>
        <v>0</v>
      </c>
      <c r="AU16" s="20">
        <f t="shared" si="45"/>
        <v>0</v>
      </c>
      <c r="AV16" s="20">
        <f t="shared" si="45"/>
        <v>0</v>
      </c>
      <c r="AW16" s="43">
        <f t="shared" si="42"/>
        <v>1.8799999999999997E-2</v>
      </c>
      <c r="AX16" s="20">
        <f t="shared" si="43"/>
        <v>2.3199999999999998E-2</v>
      </c>
      <c r="AY16" s="20">
        <f t="shared" si="43"/>
        <v>3.0000000000000001E-3</v>
      </c>
      <c r="AZ16" s="20">
        <f t="shared" si="43"/>
        <v>0</v>
      </c>
      <c r="BA16" s="20">
        <f t="shared" si="43"/>
        <v>0</v>
      </c>
      <c r="BB16" s="20">
        <f t="shared" si="43"/>
        <v>0</v>
      </c>
      <c r="BC16" s="20">
        <f t="shared" si="43"/>
        <v>0</v>
      </c>
      <c r="BD16" s="20">
        <f t="shared" si="44"/>
        <v>1.1200000000000001</v>
      </c>
      <c r="BE16" s="50">
        <f t="shared" si="44"/>
        <v>1.692031784881785</v>
      </c>
      <c r="BF16" s="43">
        <f t="shared" si="20"/>
        <v>7.5419070929071075E-2</v>
      </c>
      <c r="BG16" s="43">
        <f t="shared" si="21"/>
        <v>15.083814185814216</v>
      </c>
      <c r="BH16" s="6" t="str">
        <f t="shared" si="10"/>
        <v>линолевая кислота</v>
      </c>
    </row>
    <row r="17" spans="1:60" ht="28.5" customHeight="1" x14ac:dyDescent="0.25">
      <c r="H17" s="6" t="s">
        <v>48</v>
      </c>
      <c r="I17" s="1">
        <f t="shared" si="22"/>
        <v>0.6</v>
      </c>
      <c r="J17" s="1">
        <f t="shared" si="23"/>
        <v>0</v>
      </c>
      <c r="K17" s="37">
        <f t="shared" si="24"/>
        <v>0.31398987778887788</v>
      </c>
      <c r="L17" s="1">
        <f t="shared" si="25"/>
        <v>0</v>
      </c>
      <c r="M17" s="1">
        <f t="shared" si="26"/>
        <v>0</v>
      </c>
      <c r="N17" s="1">
        <f t="shared" si="27"/>
        <v>0</v>
      </c>
      <c r="O17" s="1">
        <f t="shared" si="28"/>
        <v>0</v>
      </c>
      <c r="P17" s="1">
        <f t="shared" si="29"/>
        <v>0</v>
      </c>
      <c r="Q17" s="37">
        <f t="shared" si="30"/>
        <v>0.2964</v>
      </c>
      <c r="R17" s="37">
        <f t="shared" si="31"/>
        <v>7.0000000000000007E-2</v>
      </c>
      <c r="S17" s="1">
        <f t="shared" si="32"/>
        <v>0</v>
      </c>
      <c r="T17" s="1">
        <f t="shared" si="33"/>
        <v>0</v>
      </c>
      <c r="U17" s="1">
        <f t="shared" si="34"/>
        <v>0</v>
      </c>
      <c r="V17" s="1">
        <f t="shared" si="35"/>
        <v>0</v>
      </c>
      <c r="W17" s="37">
        <f t="shared" si="36"/>
        <v>0.20299999999999996</v>
      </c>
      <c r="X17" s="37">
        <f t="shared" si="37"/>
        <v>2.7200000000000002E-2</v>
      </c>
      <c r="AH17" s="1">
        <f t="shared" si="13"/>
        <v>0.9105898777888779</v>
      </c>
      <c r="AI17" s="37">
        <f t="shared" si="14"/>
        <v>0.6</v>
      </c>
      <c r="AJ17" s="37">
        <f t="shared" si="15"/>
        <v>0.31058987778887792</v>
      </c>
      <c r="AK17" s="37">
        <f t="shared" si="16"/>
        <v>51.764979631479655</v>
      </c>
      <c r="AL17" s="6" t="str">
        <f t="shared" si="38"/>
        <v>валин</v>
      </c>
      <c r="AN17" s="46" t="s">
        <v>99</v>
      </c>
      <c r="AO17" s="17"/>
      <c r="AP17" s="17">
        <v>5</v>
      </c>
      <c r="AQ17" s="17">
        <v>4</v>
      </c>
      <c r="AR17" s="17">
        <v>3</v>
      </c>
      <c r="AS17" s="17">
        <v>8</v>
      </c>
      <c r="AT17" s="17">
        <v>40</v>
      </c>
      <c r="AU17" s="17">
        <v>10</v>
      </c>
      <c r="AV17" s="17">
        <v>8</v>
      </c>
      <c r="AW17" s="17">
        <v>5</v>
      </c>
      <c r="AX17" s="17">
        <v>2</v>
      </c>
      <c r="AY17" s="17">
        <v>10</v>
      </c>
      <c r="AZ17" s="17">
        <v>150</v>
      </c>
      <c r="BA17" s="17">
        <v>180</v>
      </c>
      <c r="BB17" s="17">
        <v>320</v>
      </c>
      <c r="BC17" s="17">
        <v>2</v>
      </c>
      <c r="BD17" s="17">
        <v>40</v>
      </c>
      <c r="BE17" s="50"/>
      <c r="BF17" s="43"/>
      <c r="BG17" s="43"/>
      <c r="BH17" s="6" t="str">
        <f t="shared" si="10"/>
        <v>Цена за 1 кг, руб</v>
      </c>
    </row>
    <row r="18" spans="1:60" ht="15.75" customHeight="1" x14ac:dyDescent="0.25">
      <c r="H18" s="6" t="s">
        <v>49</v>
      </c>
      <c r="I18" s="1">
        <f t="shared" si="22"/>
        <v>0.74</v>
      </c>
      <c r="J18" s="1">
        <f t="shared" si="23"/>
        <v>0</v>
      </c>
      <c r="K18" s="37">
        <f t="shared" si="24"/>
        <v>0.28726733499833507</v>
      </c>
      <c r="L18" s="1">
        <f t="shared" si="25"/>
        <v>0</v>
      </c>
      <c r="M18" s="1">
        <f t="shared" si="26"/>
        <v>0</v>
      </c>
      <c r="N18" s="1">
        <f t="shared" si="27"/>
        <v>0</v>
      </c>
      <c r="O18" s="1">
        <f t="shared" si="28"/>
        <v>0</v>
      </c>
      <c r="P18" s="1">
        <f t="shared" si="29"/>
        <v>0</v>
      </c>
      <c r="Q18" s="37">
        <f t="shared" si="30"/>
        <v>0.26400000000000001</v>
      </c>
      <c r="R18" s="37">
        <f t="shared" si="31"/>
        <v>8.6800000000000002E-2</v>
      </c>
      <c r="S18" s="1">
        <f t="shared" si="32"/>
        <v>0</v>
      </c>
      <c r="T18" s="1">
        <f t="shared" si="33"/>
        <v>0</v>
      </c>
      <c r="U18" s="1">
        <f t="shared" si="34"/>
        <v>0</v>
      </c>
      <c r="V18" s="1">
        <f t="shared" si="35"/>
        <v>0</v>
      </c>
      <c r="W18" s="37">
        <f t="shared" si="36"/>
        <v>0.22</v>
      </c>
      <c r="X18" s="37">
        <f t="shared" si="37"/>
        <v>2.6000000000000002E-2</v>
      </c>
      <c r="AH18" s="1">
        <f t="shared" si="13"/>
        <v>0.88406733499833501</v>
      </c>
      <c r="AI18" s="37">
        <f t="shared" si="14"/>
        <v>0.74</v>
      </c>
      <c r="AJ18" s="37">
        <f t="shared" si="15"/>
        <v>0.14406733499833502</v>
      </c>
      <c r="AK18" s="37">
        <f t="shared" si="16"/>
        <v>19.468558783558787</v>
      </c>
      <c r="AL18" s="6" t="str">
        <f t="shared" si="38"/>
        <v>глицин</v>
      </c>
      <c r="AN18" s="53" t="s">
        <v>106</v>
      </c>
      <c r="AO18" s="17"/>
      <c r="AP18" s="43">
        <f>AP3*AP17/100</f>
        <v>0</v>
      </c>
      <c r="AQ18" s="43">
        <f>AQ3*AQ17/100</f>
        <v>2.6722542790542798</v>
      </c>
      <c r="AR18" s="43">
        <f t="shared" ref="AR18:BD18" si="46">AR3*AR17/100</f>
        <v>0</v>
      </c>
      <c r="AS18" s="43">
        <f t="shared" si="46"/>
        <v>0.32</v>
      </c>
      <c r="AT18" s="43">
        <f t="shared" si="46"/>
        <v>0.8</v>
      </c>
      <c r="AU18" s="43">
        <f t="shared" si="46"/>
        <v>0</v>
      </c>
      <c r="AV18" s="43">
        <f t="shared" si="46"/>
        <v>0.8</v>
      </c>
      <c r="AW18" s="43">
        <f t="shared" si="46"/>
        <v>0.2</v>
      </c>
      <c r="AX18" s="43">
        <f t="shared" si="46"/>
        <v>0.17212121212121212</v>
      </c>
      <c r="AY18" s="43">
        <f t="shared" si="46"/>
        <v>0.18333333333333335</v>
      </c>
      <c r="AZ18" s="43">
        <f t="shared" si="46"/>
        <v>0.51923076923076916</v>
      </c>
      <c r="BA18" s="43">
        <f t="shared" si="46"/>
        <v>0.126</v>
      </c>
      <c r="BB18" s="43">
        <f t="shared" si="46"/>
        <v>0</v>
      </c>
      <c r="BC18" s="43">
        <f t="shared" si="46"/>
        <v>8.6666666666666663E-3</v>
      </c>
      <c r="BD18" s="43">
        <f t="shared" si="46"/>
        <v>0.76190476190476208</v>
      </c>
      <c r="BE18" s="50">
        <f>AP18+AQ18+AR18+AS18+AT18+AU18+AV18+AW18+AX18+AY18+AZ18+BA18+BB18+BC18+BD18</f>
        <v>6.5635110223110233</v>
      </c>
      <c r="BF18" s="43"/>
      <c r="BG18" s="43"/>
      <c r="BH18" s="6" t="str">
        <f t="shared" si="10"/>
        <v>Стоимость, руб/kg</v>
      </c>
    </row>
    <row r="19" spans="1:60" ht="12.75" customHeight="1" x14ac:dyDescent="0.25">
      <c r="H19" s="2" t="s">
        <v>50</v>
      </c>
      <c r="I19" s="1">
        <f t="shared" si="22"/>
        <v>5</v>
      </c>
      <c r="J19" s="1">
        <f t="shared" si="23"/>
        <v>0</v>
      </c>
      <c r="K19" s="37">
        <f t="shared" si="24"/>
        <v>1.8037716383616391</v>
      </c>
      <c r="L19" s="1">
        <f t="shared" si="25"/>
        <v>0</v>
      </c>
      <c r="M19" s="1">
        <f t="shared" si="26"/>
        <v>0</v>
      </c>
      <c r="N19" s="1">
        <f t="shared" si="27"/>
        <v>0</v>
      </c>
      <c r="O19" s="1">
        <f t="shared" si="28"/>
        <v>0</v>
      </c>
      <c r="P19" s="1">
        <f t="shared" si="29"/>
        <v>0</v>
      </c>
      <c r="Q19" s="37">
        <f t="shared" si="30"/>
        <v>0</v>
      </c>
      <c r="R19" s="37">
        <f t="shared" si="31"/>
        <v>0</v>
      </c>
      <c r="S19" s="1">
        <f t="shared" si="32"/>
        <v>0</v>
      </c>
      <c r="T19" s="1">
        <f t="shared" si="33"/>
        <v>0</v>
      </c>
      <c r="U19" s="1">
        <f t="shared" si="34"/>
        <v>0</v>
      </c>
      <c r="V19" s="1">
        <f t="shared" si="35"/>
        <v>0</v>
      </c>
      <c r="W19" s="37">
        <f t="shared" si="36"/>
        <v>1.41</v>
      </c>
      <c r="X19" s="37">
        <f t="shared" si="37"/>
        <v>0.96</v>
      </c>
      <c r="AH19" s="1">
        <f t="shared" si="13"/>
        <v>4.1737716383616394</v>
      </c>
      <c r="AI19" s="37">
        <f t="shared" si="14"/>
        <v>5</v>
      </c>
      <c r="AJ19" s="37">
        <f t="shared" si="15"/>
        <v>-0.82622836163836055</v>
      </c>
      <c r="AK19" s="37">
        <f t="shared" si="16"/>
        <v>-16.524567232767211</v>
      </c>
      <c r="AL19" s="6" t="str">
        <f t="shared" si="38"/>
        <v>Сырая клетчатка</v>
      </c>
      <c r="AN19" s="20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47"/>
      <c r="BF19" s="43"/>
      <c r="BG19" s="43"/>
      <c r="BH19" s="6">
        <f t="shared" si="10"/>
        <v>0</v>
      </c>
    </row>
    <row r="20" spans="1:60" ht="16.5" customHeight="1" x14ac:dyDescent="0.25">
      <c r="H20" s="2" t="s">
        <v>14</v>
      </c>
      <c r="I20" s="1">
        <f t="shared" si="22"/>
        <v>3.8</v>
      </c>
      <c r="J20" s="1">
        <f t="shared" si="23"/>
        <v>0</v>
      </c>
      <c r="K20" s="37">
        <f t="shared" si="24"/>
        <v>2.67225427905428E-2</v>
      </c>
      <c r="L20" s="1">
        <f t="shared" si="25"/>
        <v>0</v>
      </c>
      <c r="M20" s="1">
        <f t="shared" si="26"/>
        <v>0</v>
      </c>
      <c r="N20" s="1">
        <f t="shared" si="27"/>
        <v>0</v>
      </c>
      <c r="O20" s="1">
        <f t="shared" si="28"/>
        <v>0</v>
      </c>
      <c r="P20" s="1">
        <f t="shared" si="29"/>
        <v>0</v>
      </c>
      <c r="Q20" s="37">
        <f t="shared" si="30"/>
        <v>2.4E-2</v>
      </c>
      <c r="R20" s="37">
        <f t="shared" si="31"/>
        <v>0.09</v>
      </c>
      <c r="S20" s="1">
        <f t="shared" si="32"/>
        <v>0</v>
      </c>
      <c r="T20" s="1">
        <f t="shared" si="33"/>
        <v>0</v>
      </c>
      <c r="U20" s="1">
        <f t="shared" si="34"/>
        <v>0</v>
      </c>
      <c r="V20" s="1">
        <f t="shared" si="35"/>
        <v>0</v>
      </c>
      <c r="W20" s="37">
        <f t="shared" si="36"/>
        <v>3.2000000000000001E-2</v>
      </c>
      <c r="X20" s="37">
        <f t="shared" si="37"/>
        <v>4.0399999999999998E-2</v>
      </c>
      <c r="Y20" s="38">
        <v>2.84</v>
      </c>
      <c r="Z20" s="1">
        <f>Z3*0.32</f>
        <v>0.58666666666666678</v>
      </c>
      <c r="AH20" s="1">
        <f>SUM(J20:AG20)+Y25</f>
        <v>3.6397892094572097</v>
      </c>
      <c r="AI20" s="37">
        <f t="shared" si="14"/>
        <v>3.8</v>
      </c>
      <c r="AJ20" s="37">
        <f t="shared" si="15"/>
        <v>-0.16021079054279008</v>
      </c>
      <c r="AK20" s="37">
        <f t="shared" si="16"/>
        <v>-4.2160734353365816</v>
      </c>
      <c r="AL20" s="6" t="str">
        <f t="shared" si="38"/>
        <v>Кальций</v>
      </c>
      <c r="AN20" s="6"/>
    </row>
    <row r="21" spans="1:60" ht="14.25" customHeight="1" x14ac:dyDescent="0.25">
      <c r="H21" s="2" t="s">
        <v>51</v>
      </c>
      <c r="I21" s="1">
        <f t="shared" si="22"/>
        <v>0.6</v>
      </c>
      <c r="J21" s="1">
        <f t="shared" si="23"/>
        <v>0</v>
      </c>
      <c r="K21" s="37">
        <f t="shared" si="24"/>
        <v>0.20041907092907099</v>
      </c>
      <c r="L21" s="1">
        <f t="shared" si="25"/>
        <v>0</v>
      </c>
      <c r="M21" s="1">
        <f t="shared" si="26"/>
        <v>0</v>
      </c>
      <c r="N21" s="1">
        <f t="shared" si="27"/>
        <v>0</v>
      </c>
      <c r="O21" s="1">
        <f t="shared" si="28"/>
        <v>0</v>
      </c>
      <c r="P21" s="1">
        <f t="shared" si="29"/>
        <v>0</v>
      </c>
      <c r="Q21" s="37">
        <f t="shared" si="30"/>
        <v>2.2400000000000003E-2</v>
      </c>
      <c r="R21" s="37">
        <f t="shared" si="31"/>
        <v>5.4000000000000006E-2</v>
      </c>
      <c r="S21" s="1">
        <f t="shared" si="32"/>
        <v>0</v>
      </c>
      <c r="T21" s="1">
        <f t="shared" si="33"/>
        <v>0</v>
      </c>
      <c r="U21" s="1">
        <f t="shared" si="34"/>
        <v>0</v>
      </c>
      <c r="V21" s="1">
        <f t="shared" si="35"/>
        <v>0</v>
      </c>
      <c r="W21" s="37">
        <f t="shared" si="36"/>
        <v>9.0999999999999998E-2</v>
      </c>
      <c r="X21" s="37">
        <f t="shared" si="37"/>
        <v>8.3999999999999995E-3</v>
      </c>
      <c r="Z21" s="1">
        <f>Z3*0.14</f>
        <v>0.25666666666666671</v>
      </c>
      <c r="AH21" s="1">
        <f t="shared" si="13"/>
        <v>0.63288573759573774</v>
      </c>
      <c r="AI21" s="37">
        <f t="shared" si="14"/>
        <v>0.6</v>
      </c>
      <c r="AJ21" s="37">
        <f t="shared" si="15"/>
        <v>3.2885737595737763E-2</v>
      </c>
      <c r="AK21" s="37">
        <f t="shared" si="16"/>
        <v>5.4809562659562943</v>
      </c>
      <c r="AL21" s="6" t="str">
        <f t="shared" si="38"/>
        <v>Фосфор общий</v>
      </c>
      <c r="AN21" s="6"/>
    </row>
    <row r="22" spans="1:60" ht="15.75" customHeight="1" x14ac:dyDescent="0.25">
      <c r="H22" s="2" t="s">
        <v>52</v>
      </c>
      <c r="I22" s="1">
        <f t="shared" si="22"/>
        <v>0.34</v>
      </c>
      <c r="J22" s="1">
        <f t="shared" si="23"/>
        <v>0</v>
      </c>
      <c r="K22" s="37">
        <f t="shared" si="24"/>
        <v>6.0125721278721296E-2</v>
      </c>
      <c r="L22" s="1">
        <f t="shared" si="25"/>
        <v>0</v>
      </c>
      <c r="M22" s="1">
        <f t="shared" si="26"/>
        <v>0</v>
      </c>
      <c r="N22" s="1">
        <f t="shared" si="27"/>
        <v>0</v>
      </c>
      <c r="O22" s="1">
        <f t="shared" si="28"/>
        <v>0</v>
      </c>
      <c r="P22" s="1">
        <f t="shared" si="29"/>
        <v>0</v>
      </c>
      <c r="Q22" s="37">
        <f t="shared" si="30"/>
        <v>0.02</v>
      </c>
      <c r="R22" s="37">
        <f t="shared" si="31"/>
        <v>5.2999999999999999E-2</v>
      </c>
      <c r="S22" s="1">
        <f t="shared" si="32"/>
        <v>0</v>
      </c>
      <c r="T22" s="1">
        <f t="shared" si="33"/>
        <v>0</v>
      </c>
      <c r="U22" s="1">
        <f t="shared" si="34"/>
        <v>0</v>
      </c>
      <c r="V22" s="1">
        <f t="shared" si="35"/>
        <v>0</v>
      </c>
      <c r="W22" s="37">
        <f t="shared" si="36"/>
        <v>4.4999999999999998E-2</v>
      </c>
      <c r="X22" s="37">
        <f t="shared" si="37"/>
        <v>4.0000000000000001E-3</v>
      </c>
      <c r="Z22" s="38">
        <v>0.22</v>
      </c>
      <c r="AH22" s="1">
        <f t="shared" si="13"/>
        <v>0.40212572127872126</v>
      </c>
      <c r="AI22" s="37">
        <f t="shared" si="14"/>
        <v>0.34</v>
      </c>
      <c r="AJ22" s="37">
        <f t="shared" si="15"/>
        <v>6.2125721278721235E-2</v>
      </c>
      <c r="AK22" s="37">
        <f t="shared" si="16"/>
        <v>18.272270964329774</v>
      </c>
      <c r="AL22" s="6" t="str">
        <f t="shared" si="38"/>
        <v>доступный</v>
      </c>
    </row>
    <row r="23" spans="1:60" ht="16.5" customHeight="1" x14ac:dyDescent="0.25">
      <c r="H23" s="2" t="s">
        <v>53</v>
      </c>
      <c r="I23" s="1">
        <f t="shared" si="22"/>
        <v>0.2</v>
      </c>
      <c r="J23" s="1">
        <f t="shared" si="23"/>
        <v>0</v>
      </c>
      <c r="K23" s="37">
        <f t="shared" si="24"/>
        <v>1.33612713952714E-2</v>
      </c>
      <c r="L23" s="1">
        <f t="shared" si="25"/>
        <v>0</v>
      </c>
      <c r="M23" s="1">
        <f t="shared" si="26"/>
        <v>0</v>
      </c>
      <c r="N23" s="1">
        <f t="shared" si="27"/>
        <v>0</v>
      </c>
      <c r="O23" s="1">
        <f t="shared" si="28"/>
        <v>0</v>
      </c>
      <c r="P23" s="1">
        <f t="shared" si="29"/>
        <v>0</v>
      </c>
      <c r="Q23" s="37">
        <f t="shared" si="30"/>
        <v>1.44E-2</v>
      </c>
      <c r="R23" s="37">
        <f t="shared" si="31"/>
        <v>3.0600000000000002E-2</v>
      </c>
      <c r="S23" s="1">
        <f t="shared" si="32"/>
        <v>0</v>
      </c>
      <c r="T23" s="1">
        <f t="shared" si="33"/>
        <v>0</v>
      </c>
      <c r="U23" s="1">
        <f t="shared" si="34"/>
        <v>0</v>
      </c>
      <c r="V23" s="1">
        <f t="shared" si="35"/>
        <v>0</v>
      </c>
      <c r="W23" s="37">
        <f t="shared" si="36"/>
        <v>8.0000000000000002E-3</v>
      </c>
      <c r="X23" s="37">
        <f t="shared" si="37"/>
        <v>2.8000000000000004E-3</v>
      </c>
      <c r="AE23" s="38">
        <v>0.13</v>
      </c>
      <c r="AH23" s="1">
        <f t="shared" si="13"/>
        <v>0.1991612713952714</v>
      </c>
      <c r="AI23" s="37">
        <f t="shared" si="14"/>
        <v>0.2</v>
      </c>
      <c r="AJ23" s="37">
        <f t="shared" si="15"/>
        <v>-8.3872860472861133E-4</v>
      </c>
      <c r="AK23" s="37">
        <f t="shared" si="16"/>
        <v>-0.41936430236430566</v>
      </c>
      <c r="AL23" s="6" t="str">
        <f t="shared" si="38"/>
        <v>натрий</v>
      </c>
    </row>
    <row r="24" spans="1:60" ht="17.25" customHeight="1" x14ac:dyDescent="0.25">
      <c r="H24" s="2" t="s">
        <v>54</v>
      </c>
      <c r="I24" s="1">
        <f t="shared" si="22"/>
        <v>1.2</v>
      </c>
      <c r="J24" s="1">
        <f t="shared" si="23"/>
        <v>0</v>
      </c>
      <c r="K24" s="37">
        <f t="shared" si="24"/>
        <v>0.33403178488178498</v>
      </c>
      <c r="L24" s="1">
        <f t="shared" si="25"/>
        <v>0</v>
      </c>
      <c r="M24" s="1">
        <f t="shared" si="26"/>
        <v>0</v>
      </c>
      <c r="N24" s="1">
        <f t="shared" si="27"/>
        <v>0</v>
      </c>
      <c r="O24" s="1">
        <f t="shared" si="28"/>
        <v>0</v>
      </c>
      <c r="P24" s="1">
        <f t="shared" si="29"/>
        <v>0</v>
      </c>
      <c r="Q24" s="37">
        <f t="shared" si="30"/>
        <v>2.3199999999999998E-2</v>
      </c>
      <c r="R24" s="37">
        <f t="shared" si="31"/>
        <v>3.0000000000000001E-3</v>
      </c>
      <c r="S24" s="1">
        <f t="shared" si="32"/>
        <v>0</v>
      </c>
      <c r="T24" s="1">
        <f t="shared" si="33"/>
        <v>0</v>
      </c>
      <c r="U24" s="1">
        <f t="shared" si="34"/>
        <v>0</v>
      </c>
      <c r="V24" s="1">
        <f t="shared" si="35"/>
        <v>0</v>
      </c>
      <c r="W24" s="37">
        <f t="shared" si="36"/>
        <v>0.193</v>
      </c>
      <c r="X24" s="37">
        <f t="shared" si="37"/>
        <v>1.8799999999999997E-2</v>
      </c>
      <c r="AF24" s="9">
        <f>0.13*AF3</f>
        <v>0</v>
      </c>
      <c r="AG24" s="38">
        <v>1.1200000000000001</v>
      </c>
      <c r="AH24" s="1">
        <f t="shared" si="13"/>
        <v>1.692031784881785</v>
      </c>
      <c r="AI24" s="37">
        <f t="shared" si="14"/>
        <v>1.2</v>
      </c>
      <c r="AJ24" s="37">
        <f t="shared" si="15"/>
        <v>0.49203178488178501</v>
      </c>
      <c r="AK24" s="37">
        <f t="shared" si="16"/>
        <v>41.00264874014875</v>
      </c>
      <c r="AL24" s="6" t="str">
        <f t="shared" si="38"/>
        <v>линолевая кислота</v>
      </c>
    </row>
    <row r="25" spans="1:60" x14ac:dyDescent="0.25">
      <c r="K25" s="37"/>
      <c r="Y25" s="38"/>
    </row>
    <row r="26" spans="1:60" ht="166.5" x14ac:dyDescent="0.25">
      <c r="A26" s="36"/>
      <c r="B26" s="33" t="s">
        <v>32</v>
      </c>
      <c r="C26" s="33" t="s">
        <v>55</v>
      </c>
      <c r="D26" s="33" t="s">
        <v>56</v>
      </c>
      <c r="E26" s="33" t="s">
        <v>57</v>
      </c>
      <c r="F26" s="30" t="s">
        <v>58</v>
      </c>
      <c r="G26" s="35" t="s">
        <v>59</v>
      </c>
      <c r="H26" s="34" t="s">
        <v>60</v>
      </c>
      <c r="I26" s="32" t="s">
        <v>61</v>
      </c>
      <c r="J26" s="33" t="s">
        <v>62</v>
      </c>
      <c r="K26" s="33" t="s">
        <v>63</v>
      </c>
      <c r="L26" s="33" t="s">
        <v>64</v>
      </c>
      <c r="M26" s="32" t="s">
        <v>65</v>
      </c>
      <c r="N26" s="31" t="s">
        <v>66</v>
      </c>
      <c r="O26" s="30" t="s">
        <v>67</v>
      </c>
      <c r="P26" s="29" t="s">
        <v>68</v>
      </c>
      <c r="Q26" s="28" t="s">
        <v>97</v>
      </c>
      <c r="R26" s="27" t="s">
        <v>69</v>
      </c>
    </row>
    <row r="27" spans="1:60" x14ac:dyDescent="0.25">
      <c r="A27" s="17" t="str">
        <f>F4</f>
        <v>напольный</v>
      </c>
      <c r="B27" s="26">
        <f>A4</f>
        <v>2</v>
      </c>
      <c r="C27" s="43">
        <f>POWER(B27,0.75)</f>
        <v>1.681792830507429</v>
      </c>
      <c r="D27" s="17">
        <v>357</v>
      </c>
      <c r="E27" s="19">
        <f>IF(F4="напольный",1.5,1.37)</f>
        <v>1.5</v>
      </c>
      <c r="F27" s="55">
        <f>C27*D27*E27</f>
        <v>900.60006073672821</v>
      </c>
      <c r="G27" s="26">
        <f>B4</f>
        <v>5</v>
      </c>
      <c r="H27" s="17">
        <v>26</v>
      </c>
      <c r="I27" s="23">
        <f>G27*H27</f>
        <v>130</v>
      </c>
      <c r="J27" s="17">
        <v>6.82</v>
      </c>
      <c r="K27" s="19">
        <f>E4</f>
        <v>58</v>
      </c>
      <c r="L27" s="19">
        <f>D4/100</f>
        <v>0.9</v>
      </c>
      <c r="M27" s="55">
        <f>J27*K27*L27</f>
        <v>356.00400000000002</v>
      </c>
      <c r="N27" s="25">
        <v>1.4</v>
      </c>
      <c r="O27" s="55">
        <f>K27*N27*L27</f>
        <v>73.08</v>
      </c>
      <c r="P27" s="54">
        <f>F27+I27+M27+O27</f>
        <v>1459.684060736728</v>
      </c>
      <c r="Q27" s="24">
        <f>P27/R27</f>
        <v>134.16213793536102</v>
      </c>
      <c r="R27" s="16">
        <f>IF(C4&lt;46,11.3,10.88)</f>
        <v>10.88</v>
      </c>
    </row>
    <row r="28" spans="1:60" x14ac:dyDescent="0.25">
      <c r="A28" s="17"/>
      <c r="B28" s="19"/>
      <c r="C28" s="17"/>
      <c r="D28" s="17"/>
      <c r="E28" s="19"/>
      <c r="F28" s="23"/>
      <c r="G28" s="19"/>
      <c r="H28" s="17"/>
      <c r="I28" s="23"/>
      <c r="J28" s="17"/>
      <c r="K28" s="19"/>
      <c r="L28" s="19"/>
      <c r="M28" s="23"/>
      <c r="N28" s="25"/>
      <c r="O28" s="23"/>
      <c r="P28" s="19"/>
      <c r="Q28" s="24"/>
      <c r="R28" s="16"/>
    </row>
    <row r="29" spans="1:60" x14ac:dyDescent="0.25">
      <c r="A29" s="17"/>
      <c r="B29" s="19"/>
      <c r="C29" s="17"/>
      <c r="D29" s="17"/>
      <c r="E29" s="19"/>
      <c r="F29" s="23"/>
      <c r="G29" s="19"/>
      <c r="H29" s="17"/>
      <c r="I29" s="23"/>
      <c r="J29" s="17"/>
      <c r="K29" s="19"/>
      <c r="L29" s="19"/>
      <c r="M29" s="23"/>
      <c r="N29" s="17"/>
      <c r="O29" s="23"/>
      <c r="P29" s="19"/>
      <c r="Q29" s="22"/>
      <c r="R29" s="16"/>
    </row>
    <row r="30" spans="1:60" x14ac:dyDescent="0.25">
      <c r="A30" s="17"/>
      <c r="B30" s="19"/>
      <c r="C30" s="17"/>
      <c r="D30" s="17"/>
      <c r="E30" s="19"/>
      <c r="F30" s="23"/>
      <c r="G30" s="19"/>
      <c r="H30" s="17"/>
      <c r="I30" s="23"/>
      <c r="J30" s="17"/>
      <c r="K30" s="19"/>
      <c r="L30" s="19"/>
      <c r="M30" s="23"/>
      <c r="N30" s="17"/>
      <c r="O30" s="23"/>
      <c r="P30" s="19"/>
      <c r="Q30" s="22"/>
      <c r="R30" s="16"/>
    </row>
    <row r="31" spans="1:60" x14ac:dyDescent="0.25">
      <c r="A31" s="17"/>
      <c r="B31" s="19"/>
      <c r="C31" s="17"/>
      <c r="D31" s="17"/>
      <c r="E31" s="19"/>
      <c r="F31" s="23"/>
      <c r="G31" s="19"/>
      <c r="H31" s="17"/>
      <c r="I31" s="23"/>
      <c r="J31" s="17"/>
      <c r="K31" s="19"/>
      <c r="L31" s="19"/>
      <c r="M31" s="23"/>
      <c r="N31" s="17"/>
      <c r="O31" s="23"/>
      <c r="P31" s="19"/>
      <c r="Q31" s="22"/>
      <c r="R31" s="16"/>
    </row>
    <row r="32" spans="1:60" x14ac:dyDescent="0.25">
      <c r="A32" s="17"/>
      <c r="B32" s="19"/>
      <c r="C32" s="17"/>
      <c r="D32" s="17"/>
      <c r="E32" s="19"/>
      <c r="F32" s="23"/>
      <c r="G32" s="19"/>
      <c r="H32" s="17"/>
      <c r="I32" s="23"/>
      <c r="J32" s="17"/>
      <c r="K32" s="19"/>
      <c r="L32" s="19"/>
      <c r="M32" s="23"/>
      <c r="N32" s="17"/>
      <c r="O32" s="23"/>
      <c r="P32" s="19"/>
      <c r="Q32" s="22"/>
      <c r="R32" s="16"/>
    </row>
    <row r="33" spans="1:29" x14ac:dyDescent="0.25">
      <c r="A33" s="17"/>
      <c r="B33" s="19"/>
      <c r="C33" s="17"/>
      <c r="D33" s="17"/>
      <c r="E33" s="19"/>
      <c r="F33" s="23"/>
      <c r="G33" s="19"/>
      <c r="H33" s="17"/>
      <c r="I33" s="23"/>
      <c r="J33" s="17"/>
      <c r="K33" s="19"/>
      <c r="L33" s="19"/>
      <c r="M33" s="23"/>
      <c r="N33" s="17"/>
      <c r="O33" s="23"/>
      <c r="P33" s="19"/>
      <c r="Q33" s="22"/>
      <c r="R33" s="16"/>
    </row>
    <row r="34" spans="1:29" x14ac:dyDescent="0.25">
      <c r="A34" s="17"/>
      <c r="B34" s="19"/>
      <c r="C34" s="17"/>
      <c r="D34" s="17"/>
      <c r="E34" s="19"/>
      <c r="F34" s="23"/>
      <c r="G34" s="19"/>
      <c r="H34" s="17"/>
      <c r="I34" s="23"/>
      <c r="J34" s="17"/>
      <c r="K34" s="19"/>
      <c r="L34" s="19"/>
      <c r="M34" s="23"/>
      <c r="N34" s="17"/>
      <c r="O34" s="23"/>
      <c r="P34" s="19"/>
      <c r="Q34" s="22"/>
      <c r="R34" s="16"/>
    </row>
    <row r="35" spans="1:29" x14ac:dyDescent="0.25">
      <c r="A35" s="17"/>
      <c r="B35" s="19"/>
      <c r="C35" s="17"/>
      <c r="D35" s="17"/>
      <c r="E35" s="19"/>
      <c r="F35" s="23"/>
      <c r="G35" s="19"/>
      <c r="H35" s="17"/>
      <c r="I35" s="23"/>
      <c r="J35" s="17"/>
      <c r="K35" s="19"/>
      <c r="L35" s="19"/>
      <c r="M35" s="23"/>
      <c r="N35" s="17"/>
      <c r="O35" s="23"/>
      <c r="P35" s="19"/>
      <c r="Q35" s="22"/>
      <c r="R35" s="16"/>
    </row>
    <row r="36" spans="1:29" x14ac:dyDescent="0.25">
      <c r="A36" s="17"/>
      <c r="B36" s="19"/>
      <c r="C36" s="17"/>
      <c r="D36" s="17"/>
      <c r="E36" s="19"/>
      <c r="F36" s="23"/>
      <c r="G36" s="19"/>
      <c r="H36" s="17"/>
      <c r="I36" s="23"/>
      <c r="J36" s="17"/>
      <c r="K36" s="19"/>
      <c r="L36" s="19"/>
      <c r="M36" s="23"/>
      <c r="N36" s="17"/>
      <c r="O36" s="23"/>
      <c r="P36" s="19"/>
      <c r="Q36" s="22"/>
      <c r="R36" s="16"/>
    </row>
    <row r="37" spans="1:29" x14ac:dyDescent="0.25">
      <c r="A37" s="17"/>
      <c r="B37" s="19"/>
      <c r="C37" s="17"/>
      <c r="D37" s="17"/>
      <c r="E37" s="19"/>
      <c r="F37" s="23"/>
      <c r="G37" s="19"/>
      <c r="H37" s="17"/>
      <c r="I37" s="23"/>
      <c r="J37" s="17"/>
      <c r="K37" s="19"/>
      <c r="L37" s="19"/>
      <c r="M37" s="23"/>
      <c r="N37" s="17"/>
      <c r="O37" s="23"/>
      <c r="P37" s="19"/>
      <c r="Q37" s="22"/>
      <c r="R37" s="16"/>
    </row>
    <row r="38" spans="1:29" x14ac:dyDescent="0.25">
      <c r="A38" s="17"/>
      <c r="B38" s="19"/>
      <c r="C38" s="17"/>
      <c r="D38" s="17"/>
      <c r="E38" s="19"/>
      <c r="F38" s="23"/>
      <c r="G38" s="17"/>
      <c r="H38" s="17"/>
      <c r="I38" s="23"/>
      <c r="J38" s="17"/>
      <c r="K38" s="19"/>
      <c r="L38" s="19"/>
      <c r="M38" s="23"/>
      <c r="N38" s="17"/>
      <c r="O38" s="23"/>
      <c r="P38" s="19"/>
      <c r="Q38" s="22"/>
      <c r="R38" s="16"/>
    </row>
    <row r="39" spans="1:29" x14ac:dyDescent="0.25">
      <c r="A39" s="62" t="s">
        <v>70</v>
      </c>
      <c r="B39" s="62"/>
      <c r="C39" s="62"/>
      <c r="D39" s="62"/>
      <c r="E39" s="62"/>
      <c r="F39" s="62"/>
      <c r="G39" s="62"/>
      <c r="H39" s="62"/>
    </row>
    <row r="40" spans="1:29" x14ac:dyDescent="0.25">
      <c r="A40" s="1" t="s">
        <v>71</v>
      </c>
    </row>
    <row r="41" spans="1:29" x14ac:dyDescent="0.25">
      <c r="A41" s="1" t="s">
        <v>72</v>
      </c>
    </row>
    <row r="42" spans="1:29" ht="48.75" customHeight="1" x14ac:dyDescent="0.25">
      <c r="A42" s="61" t="s">
        <v>98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15"/>
      <c r="M42" s="15"/>
      <c r="N42" s="15"/>
      <c r="O42" s="15"/>
      <c r="P42" s="15"/>
      <c r="Q42" s="15"/>
    </row>
    <row r="43" spans="1:29" ht="75" x14ac:dyDescent="0.25">
      <c r="B43" s="17" t="s">
        <v>73</v>
      </c>
      <c r="C43" s="17" t="s">
        <v>74</v>
      </c>
      <c r="D43" s="17" t="s">
        <v>75</v>
      </c>
      <c r="E43" s="17" t="s">
        <v>76</v>
      </c>
      <c r="F43" s="17" t="s">
        <v>77</v>
      </c>
      <c r="G43" s="17" t="s">
        <v>78</v>
      </c>
      <c r="H43" s="17" t="s">
        <v>79</v>
      </c>
      <c r="I43" s="17" t="s">
        <v>0</v>
      </c>
      <c r="J43" s="21" t="s">
        <v>80</v>
      </c>
      <c r="K43" s="20" t="s">
        <v>81</v>
      </c>
    </row>
    <row r="44" spans="1:29" x14ac:dyDescent="0.25">
      <c r="B44" s="19">
        <v>0.5</v>
      </c>
      <c r="C44" s="17">
        <f>POWER(B44,0.75)</f>
        <v>0.59460355750136051</v>
      </c>
      <c r="D44" s="17">
        <v>300</v>
      </c>
      <c r="E44" s="19">
        <v>40</v>
      </c>
      <c r="F44" s="17">
        <v>14.38</v>
      </c>
      <c r="G44" s="17">
        <v>6.8700000000000002E-3</v>
      </c>
      <c r="H44" s="19">
        <f>B44*1000</f>
        <v>500</v>
      </c>
      <c r="I44" s="18">
        <f>(C44*D44+E44*(F44+G44*H44))</f>
        <v>890.98106725040816</v>
      </c>
      <c r="J44" s="17">
        <f>I44/K44</f>
        <v>66.491124421672254</v>
      </c>
      <c r="K44" s="16">
        <v>13.4</v>
      </c>
    </row>
    <row r="45" spans="1:29" x14ac:dyDescent="0.25">
      <c r="B45" s="19">
        <v>0.9</v>
      </c>
      <c r="C45" s="17">
        <f>POWER(B45,0.75)</f>
        <v>0.92402108647230685</v>
      </c>
      <c r="D45" s="17">
        <v>300</v>
      </c>
      <c r="E45" s="19">
        <v>50</v>
      </c>
      <c r="F45" s="17">
        <v>14.38</v>
      </c>
      <c r="G45" s="17">
        <v>6.8700000000000002E-3</v>
      </c>
      <c r="H45" s="19">
        <f>B45*1000</f>
        <v>900</v>
      </c>
      <c r="I45" s="18">
        <f>(C45*D45+E45*(F45+G45*H45))</f>
        <v>1305.3563259416921</v>
      </c>
      <c r="J45" s="17">
        <f>I45/K45</f>
        <v>100.41202507243786</v>
      </c>
      <c r="K45" s="16">
        <v>13</v>
      </c>
    </row>
    <row r="46" spans="1:29" x14ac:dyDescent="0.25">
      <c r="B46" s="19"/>
      <c r="C46" s="17"/>
      <c r="D46" s="17">
        <v>300</v>
      </c>
      <c r="E46" s="19">
        <v>40</v>
      </c>
      <c r="F46" s="17">
        <v>14.38</v>
      </c>
      <c r="G46" s="17">
        <v>6.8700000000000002E-3</v>
      </c>
      <c r="H46" s="19">
        <f>B46*1000</f>
        <v>0</v>
      </c>
      <c r="I46" s="18">
        <f>(C46*D46+E46*(F46+G46*H46))</f>
        <v>575.20000000000005</v>
      </c>
      <c r="J46" s="17" t="e">
        <f>I46/K46</f>
        <v>#DIV/0!</v>
      </c>
      <c r="K46" s="16"/>
    </row>
    <row r="47" spans="1:29" x14ac:dyDescent="0.25">
      <c r="B47" s="19"/>
      <c r="C47" s="17"/>
      <c r="D47" s="17">
        <v>300</v>
      </c>
      <c r="E47" s="19">
        <v>40</v>
      </c>
      <c r="F47" s="17">
        <v>14.38</v>
      </c>
      <c r="G47" s="17">
        <v>6.8700000000000002E-3</v>
      </c>
      <c r="H47" s="19">
        <f>B47*1000</f>
        <v>0</v>
      </c>
      <c r="I47" s="18">
        <f>(C47*D47+E47*(F47+G47*H47))</f>
        <v>575.20000000000005</v>
      </c>
      <c r="J47" s="17" t="e">
        <f>I47/K47</f>
        <v>#DIV/0!</v>
      </c>
      <c r="K47" s="16"/>
    </row>
    <row r="48" spans="1:29" x14ac:dyDescent="0.25">
      <c r="B48" s="19"/>
      <c r="C48" s="17"/>
      <c r="D48" s="17">
        <v>300</v>
      </c>
      <c r="E48" s="19">
        <v>40</v>
      </c>
      <c r="F48" s="17">
        <v>14.38</v>
      </c>
      <c r="G48" s="17">
        <v>6.8700000000000002E-3</v>
      </c>
      <c r="H48" s="19">
        <f>B48*1000</f>
        <v>0</v>
      </c>
      <c r="I48" s="18">
        <f>(C48*D48+E48*(F48+G48*H48))</f>
        <v>575.20000000000005</v>
      </c>
      <c r="J48" s="17" t="e">
        <f>I48/K48</f>
        <v>#DIV/0!</v>
      </c>
      <c r="K48" s="16"/>
      <c r="M48" s="15" t="s">
        <v>82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16" ht="77.25" x14ac:dyDescent="0.25">
      <c r="A49" s="6"/>
      <c r="B49" s="12" t="s">
        <v>16</v>
      </c>
      <c r="C49" s="12" t="s">
        <v>5</v>
      </c>
      <c r="D49" s="12" t="s">
        <v>6</v>
      </c>
      <c r="E49" s="12" t="s">
        <v>7</v>
      </c>
      <c r="F49" s="12" t="s">
        <v>17</v>
      </c>
      <c r="G49" s="12" t="s">
        <v>18</v>
      </c>
      <c r="H49" s="12" t="s">
        <v>19</v>
      </c>
      <c r="I49" s="14" t="s">
        <v>20</v>
      </c>
      <c r="J49" s="12" t="s">
        <v>8</v>
      </c>
      <c r="K49" s="12" t="s">
        <v>21</v>
      </c>
      <c r="L49" s="12" t="s">
        <v>22</v>
      </c>
      <c r="M49" s="13" t="s">
        <v>95</v>
      </c>
      <c r="N49" s="12" t="s">
        <v>23</v>
      </c>
      <c r="O49" s="12" t="s">
        <v>24</v>
      </c>
      <c r="P49" s="12" t="s">
        <v>25</v>
      </c>
    </row>
    <row r="50" spans="1:16" x14ac:dyDescent="0.25">
      <c r="A50" s="6" t="s">
        <v>15</v>
      </c>
      <c r="B50" s="10">
        <v>1.38</v>
      </c>
      <c r="C50" s="10">
        <v>1.24</v>
      </c>
      <c r="D50" s="10">
        <v>1.1200000000000001</v>
      </c>
      <c r="E50" s="10">
        <v>1.2</v>
      </c>
      <c r="F50" s="10">
        <v>1.24</v>
      </c>
      <c r="G50" s="10">
        <v>0.72</v>
      </c>
      <c r="H50" s="10">
        <v>1.46</v>
      </c>
      <c r="I50" s="11">
        <v>0.78</v>
      </c>
      <c r="J50" s="10">
        <v>1.19</v>
      </c>
      <c r="K50" s="10">
        <v>0.9</v>
      </c>
      <c r="L50" s="10">
        <v>0.98</v>
      </c>
      <c r="M50" s="10">
        <v>1.17</v>
      </c>
      <c r="N50" s="10">
        <v>1.0900000000000001</v>
      </c>
      <c r="O50" s="10">
        <v>0.94</v>
      </c>
      <c r="P50" s="10">
        <v>0.34</v>
      </c>
    </row>
    <row r="51" spans="1:16" x14ac:dyDescent="0.25">
      <c r="A51" s="6" t="s">
        <v>39</v>
      </c>
      <c r="B51" s="1">
        <v>9</v>
      </c>
      <c r="C51" s="1">
        <v>11.5</v>
      </c>
      <c r="D51" s="1">
        <v>11</v>
      </c>
      <c r="E51" s="1">
        <v>12.2</v>
      </c>
      <c r="F51" s="1">
        <v>12</v>
      </c>
      <c r="G51" s="1">
        <v>15</v>
      </c>
      <c r="H51" s="1">
        <v>38</v>
      </c>
      <c r="I51" s="9">
        <v>79.900000000000006</v>
      </c>
      <c r="J51" s="1">
        <v>63</v>
      </c>
      <c r="K51" s="1">
        <v>34.1</v>
      </c>
      <c r="L51" s="1">
        <v>49</v>
      </c>
      <c r="M51" s="1">
        <v>33.299999999999997</v>
      </c>
      <c r="N51" s="1">
        <v>42</v>
      </c>
      <c r="O51" s="1">
        <v>38.799999999999997</v>
      </c>
      <c r="P51" s="1">
        <v>15.9</v>
      </c>
    </row>
    <row r="52" spans="1:16" x14ac:dyDescent="0.25">
      <c r="A52" s="6" t="s">
        <v>9</v>
      </c>
      <c r="B52" s="1">
        <v>0.28000000000000003</v>
      </c>
      <c r="C52" s="1">
        <v>0.3</v>
      </c>
      <c r="D52" s="1">
        <v>0.4</v>
      </c>
      <c r="E52" s="1">
        <f>0.43</f>
        <v>0.43</v>
      </c>
      <c r="F52" s="1">
        <v>0.41</v>
      </c>
      <c r="G52" s="1">
        <v>0.54</v>
      </c>
      <c r="H52" s="1">
        <v>2.4</v>
      </c>
      <c r="I52" s="9">
        <v>1.57</v>
      </c>
      <c r="J52" s="1">
        <v>5.05</v>
      </c>
      <c r="K52" s="1">
        <v>1.74</v>
      </c>
      <c r="L52" s="1">
        <v>3.32</v>
      </c>
      <c r="M52" s="1">
        <v>2.85</v>
      </c>
      <c r="N52" s="1">
        <v>2.71</v>
      </c>
      <c r="O52" s="1">
        <v>1.33</v>
      </c>
      <c r="P52" s="1">
        <v>0.68</v>
      </c>
    </row>
    <row r="53" spans="1:16" ht="30" x14ac:dyDescent="0.25">
      <c r="A53" s="6" t="s">
        <v>40</v>
      </c>
      <c r="B53" s="1">
        <v>0.27</v>
      </c>
      <c r="C53" s="1">
        <v>0.34</v>
      </c>
      <c r="D53" s="1">
        <v>0.39</v>
      </c>
      <c r="E53" s="1">
        <f>0.39</f>
        <v>0.39</v>
      </c>
      <c r="F53" s="1">
        <v>0.36</v>
      </c>
      <c r="G53" s="1">
        <v>0.37</v>
      </c>
      <c r="H53" s="1">
        <v>1.1499999999999999</v>
      </c>
      <c r="I53" s="9">
        <v>3.58</v>
      </c>
      <c r="J53" s="1">
        <v>2.85</v>
      </c>
      <c r="K53" s="1">
        <v>0.77</v>
      </c>
      <c r="L53" s="1">
        <v>0.9</v>
      </c>
      <c r="M53" s="1">
        <v>1.21</v>
      </c>
      <c r="N53" s="1">
        <v>1.23</v>
      </c>
      <c r="O53" s="1">
        <v>1.43</v>
      </c>
      <c r="P53" s="1">
        <v>0.32</v>
      </c>
    </row>
    <row r="54" spans="1:16" x14ac:dyDescent="0.25">
      <c r="A54" s="6" t="s">
        <v>41</v>
      </c>
      <c r="B54" s="1">
        <v>0.08</v>
      </c>
      <c r="C54" s="1">
        <v>0.15</v>
      </c>
      <c r="D54" s="1">
        <v>0.13</v>
      </c>
      <c r="E54" s="1">
        <v>0.17</v>
      </c>
      <c r="F54" s="1">
        <v>0.16</v>
      </c>
      <c r="G54" s="1">
        <v>0.2</v>
      </c>
      <c r="H54" s="1">
        <v>0.36</v>
      </c>
      <c r="I54" s="9">
        <v>0.4</v>
      </c>
      <c r="J54" s="1">
        <v>0.65</v>
      </c>
      <c r="K54" s="1">
        <v>0.33</v>
      </c>
      <c r="L54" s="1">
        <v>0.64</v>
      </c>
      <c r="M54" s="1">
        <v>0.43</v>
      </c>
      <c r="N54" s="1">
        <v>0.6</v>
      </c>
      <c r="O54" s="1">
        <v>0.46</v>
      </c>
      <c r="P54" s="1">
        <v>0.24</v>
      </c>
    </row>
    <row r="55" spans="1:16" x14ac:dyDescent="0.25">
      <c r="A55" s="6" t="s">
        <v>42</v>
      </c>
      <c r="B55" s="1">
        <v>0.42</v>
      </c>
      <c r="C55" s="1">
        <v>0.55000000000000004</v>
      </c>
      <c r="D55" s="1">
        <v>0.52</v>
      </c>
      <c r="E55" s="1">
        <v>0.56999999999999995</v>
      </c>
      <c r="F55" s="1">
        <v>0.72</v>
      </c>
      <c r="G55" s="1">
        <v>0.87</v>
      </c>
      <c r="H55" s="1">
        <v>2.62</v>
      </c>
      <c r="I55" s="9">
        <v>6.4</v>
      </c>
      <c r="J55" s="1">
        <v>3.77</v>
      </c>
      <c r="K55" s="1">
        <v>2.25</v>
      </c>
      <c r="L55" s="1">
        <v>2.38</v>
      </c>
      <c r="M55" s="1">
        <v>1.43</v>
      </c>
      <c r="N55" s="1">
        <v>3.12</v>
      </c>
      <c r="O55" s="1">
        <v>3.02</v>
      </c>
      <c r="P55" s="1">
        <v>0.64</v>
      </c>
    </row>
    <row r="56" spans="1:16" x14ac:dyDescent="0.25">
      <c r="A56" s="6" t="s">
        <v>43</v>
      </c>
      <c r="B56" s="1">
        <v>0.26</v>
      </c>
      <c r="C56" s="1">
        <v>0.23</v>
      </c>
      <c r="D56" s="1">
        <v>0.23</v>
      </c>
      <c r="E56" s="1">
        <v>0.25</v>
      </c>
      <c r="F56" s="1">
        <v>0.34</v>
      </c>
      <c r="G56" s="1">
        <v>0.37</v>
      </c>
      <c r="H56" s="1">
        <v>0.9</v>
      </c>
      <c r="I56" s="9">
        <v>0.35</v>
      </c>
      <c r="J56" s="1">
        <v>1.38</v>
      </c>
      <c r="K56" s="1">
        <v>0.54</v>
      </c>
      <c r="L56" s="1">
        <v>0.87</v>
      </c>
      <c r="M56" s="1">
        <v>0.83</v>
      </c>
      <c r="N56" s="1">
        <v>1</v>
      </c>
      <c r="O56" s="1">
        <v>0.98</v>
      </c>
      <c r="P56" s="1">
        <v>0.26</v>
      </c>
    </row>
    <row r="57" spans="1:16" x14ac:dyDescent="0.25">
      <c r="A57" s="6" t="s">
        <v>44</v>
      </c>
      <c r="B57" s="1">
        <v>1.2</v>
      </c>
      <c r="C57" s="1">
        <v>0.75</v>
      </c>
      <c r="D57" s="1">
        <v>0.74</v>
      </c>
      <c r="E57" s="1">
        <v>0.8</v>
      </c>
      <c r="F57" s="1">
        <v>0.83</v>
      </c>
      <c r="G57" s="1">
        <v>0.92</v>
      </c>
      <c r="H57" s="1">
        <v>2.7</v>
      </c>
      <c r="I57" s="9">
        <v>7.08</v>
      </c>
      <c r="J57" s="1">
        <v>4.4400000000000004</v>
      </c>
      <c r="K57" s="1">
        <v>1.98</v>
      </c>
      <c r="L57" s="1">
        <v>3.29</v>
      </c>
      <c r="M57" s="1">
        <v>3.23</v>
      </c>
      <c r="N57" s="1">
        <v>3.34</v>
      </c>
      <c r="O57" s="1">
        <v>2.4</v>
      </c>
      <c r="P57" s="1">
        <v>0.94</v>
      </c>
    </row>
    <row r="58" spans="1:16" x14ac:dyDescent="0.25">
      <c r="A58" s="6" t="s">
        <v>45</v>
      </c>
      <c r="B58" s="1">
        <v>0.36</v>
      </c>
      <c r="C58" s="1">
        <v>0.42</v>
      </c>
      <c r="D58" s="1">
        <v>0.46</v>
      </c>
      <c r="E58" s="1">
        <v>0.5</v>
      </c>
      <c r="F58" s="1">
        <v>0.54</v>
      </c>
      <c r="G58" s="1">
        <v>0.63</v>
      </c>
      <c r="H58" s="1">
        <v>1.7</v>
      </c>
      <c r="I58" s="9">
        <v>4.5999999999999996</v>
      </c>
      <c r="J58" s="1">
        <v>2.76</v>
      </c>
      <c r="K58" s="1">
        <v>1.1299999999999999</v>
      </c>
      <c r="L58" s="1">
        <v>2.41</v>
      </c>
      <c r="M58" s="1">
        <v>2.15</v>
      </c>
      <c r="N58" s="1">
        <v>2.1</v>
      </c>
      <c r="O58" s="1">
        <v>1.7</v>
      </c>
      <c r="P58" s="1">
        <v>0.59</v>
      </c>
    </row>
    <row r="59" spans="1:16" x14ac:dyDescent="0.25">
      <c r="A59" s="6" t="s">
        <v>13</v>
      </c>
      <c r="B59" s="1">
        <v>0.45</v>
      </c>
      <c r="C59" s="1">
        <v>0.5</v>
      </c>
      <c r="D59" s="1">
        <v>0.53</v>
      </c>
      <c r="E59" s="1">
        <v>0.57999999999999996</v>
      </c>
      <c r="F59" s="1">
        <v>0.59</v>
      </c>
      <c r="G59" s="1">
        <v>0.5</v>
      </c>
      <c r="H59" s="1">
        <v>1.74</v>
      </c>
      <c r="I59" s="9">
        <v>4</v>
      </c>
      <c r="J59" s="1">
        <v>2.71</v>
      </c>
      <c r="K59" s="1">
        <v>1.22</v>
      </c>
      <c r="L59" s="1">
        <v>1.98</v>
      </c>
      <c r="M59" s="1">
        <v>1.26</v>
      </c>
      <c r="N59" s="1">
        <v>2.2799999999999998</v>
      </c>
      <c r="O59" s="1">
        <v>1.8</v>
      </c>
      <c r="P59" s="1">
        <v>0.6</v>
      </c>
    </row>
    <row r="60" spans="1:16" x14ac:dyDescent="0.25">
      <c r="A60" s="6" t="s">
        <v>83</v>
      </c>
      <c r="B60" s="1">
        <v>0.37</v>
      </c>
      <c r="C60" s="1">
        <v>0.35</v>
      </c>
      <c r="D60" s="1">
        <v>0.32</v>
      </c>
      <c r="E60" s="1">
        <v>0.35</v>
      </c>
      <c r="F60" s="1">
        <v>0.65</v>
      </c>
      <c r="G60" s="1">
        <v>0.38</v>
      </c>
      <c r="H60" s="1">
        <v>1.02</v>
      </c>
      <c r="I60" s="9">
        <v>2</v>
      </c>
      <c r="J60" s="1">
        <v>1.98</v>
      </c>
      <c r="K60" s="1">
        <v>0.74</v>
      </c>
      <c r="L60" s="1">
        <v>1.52</v>
      </c>
      <c r="M60" s="1">
        <v>1.01</v>
      </c>
      <c r="N60" s="1">
        <v>1.48</v>
      </c>
      <c r="O60" s="1">
        <v>1.1499999999999999</v>
      </c>
      <c r="P60" s="1">
        <v>0.49</v>
      </c>
    </row>
    <row r="61" spans="1:16" x14ac:dyDescent="0.25">
      <c r="A61" s="6" t="s">
        <v>11</v>
      </c>
      <c r="B61" s="1">
        <v>0.32</v>
      </c>
      <c r="C61" s="1">
        <v>0.3</v>
      </c>
      <c r="D61" s="1">
        <v>0.47</v>
      </c>
      <c r="E61" s="1">
        <v>0.4</v>
      </c>
      <c r="F61" s="1">
        <v>0.38</v>
      </c>
      <c r="G61" s="1">
        <v>0.33</v>
      </c>
      <c r="H61" s="1">
        <v>1.4</v>
      </c>
      <c r="I61" s="9">
        <v>3.92</v>
      </c>
      <c r="J61" s="1">
        <v>2.71</v>
      </c>
      <c r="K61" s="1">
        <v>1.1299999999999999</v>
      </c>
      <c r="L61" s="1">
        <v>2.4</v>
      </c>
      <c r="M61" s="1">
        <v>1.43</v>
      </c>
      <c r="N61" s="1">
        <v>1.82</v>
      </c>
      <c r="O61" s="1">
        <v>1.4</v>
      </c>
      <c r="P61" s="1">
        <v>0.6</v>
      </c>
    </row>
    <row r="62" spans="1:16" x14ac:dyDescent="0.25">
      <c r="A62" s="6" t="s">
        <v>48</v>
      </c>
      <c r="B62" s="1">
        <v>0.46</v>
      </c>
      <c r="C62" s="1">
        <v>0.47</v>
      </c>
      <c r="D62" s="1">
        <v>0.56000000000000005</v>
      </c>
      <c r="E62" s="1">
        <v>0.62</v>
      </c>
      <c r="F62" s="1">
        <v>0.64</v>
      </c>
      <c r="G62" s="1">
        <v>0.75</v>
      </c>
      <c r="H62" s="1">
        <v>1.6</v>
      </c>
      <c r="I62" s="9">
        <v>7.41</v>
      </c>
      <c r="J62" s="1">
        <v>3.5</v>
      </c>
      <c r="K62" s="1">
        <v>1.64</v>
      </c>
      <c r="L62" s="1">
        <v>2.68</v>
      </c>
      <c r="M62" s="1">
        <v>2.15</v>
      </c>
      <c r="N62" s="1">
        <v>2.2000000000000002</v>
      </c>
      <c r="O62" s="1">
        <v>2.0299999999999998</v>
      </c>
      <c r="P62" s="1">
        <v>0.68</v>
      </c>
    </row>
    <row r="63" spans="1:16" x14ac:dyDescent="0.25">
      <c r="A63" s="6" t="s">
        <v>49</v>
      </c>
      <c r="B63" s="1">
        <v>0.36</v>
      </c>
      <c r="C63" s="1">
        <v>0.43</v>
      </c>
      <c r="D63" s="1">
        <v>0.43</v>
      </c>
      <c r="E63" s="1">
        <v>0.47</v>
      </c>
      <c r="F63" s="1">
        <v>0.64</v>
      </c>
      <c r="G63" s="1">
        <v>0.73</v>
      </c>
      <c r="H63" s="1">
        <v>1.5</v>
      </c>
      <c r="I63" s="9">
        <v>6.6</v>
      </c>
      <c r="J63" s="1">
        <v>4.34</v>
      </c>
      <c r="K63" s="1">
        <v>2.4900000000000002</v>
      </c>
      <c r="L63" s="1">
        <v>2.11</v>
      </c>
      <c r="M63" s="1">
        <v>0.2</v>
      </c>
      <c r="N63" s="1">
        <v>1.78</v>
      </c>
      <c r="O63" s="1">
        <v>2.2000000000000002</v>
      </c>
      <c r="P63" s="1">
        <v>0.65</v>
      </c>
    </row>
    <row r="64" spans="1:16" x14ac:dyDescent="0.25">
      <c r="A64" s="2" t="s">
        <v>50</v>
      </c>
      <c r="B64" s="2">
        <v>2.2000000000000002</v>
      </c>
      <c r="C64" s="2">
        <v>2.7</v>
      </c>
      <c r="D64" s="2">
        <v>5.5</v>
      </c>
      <c r="E64" s="2">
        <v>2.2000000000000002</v>
      </c>
      <c r="F64" s="2">
        <v>4.7</v>
      </c>
      <c r="G64" s="2">
        <v>9</v>
      </c>
      <c r="H64" s="2">
        <v>5</v>
      </c>
      <c r="I64" s="2">
        <v>0</v>
      </c>
      <c r="J64" s="2">
        <v>0</v>
      </c>
      <c r="K64" s="2">
        <v>2</v>
      </c>
      <c r="L64" s="2">
        <v>1.3</v>
      </c>
      <c r="M64" s="2">
        <v>0</v>
      </c>
      <c r="N64" s="2">
        <v>7</v>
      </c>
      <c r="O64" s="2">
        <v>14.1</v>
      </c>
      <c r="P64" s="2">
        <v>24</v>
      </c>
    </row>
    <row r="65" spans="1:16" x14ac:dyDescent="0.25">
      <c r="A65" s="2" t="s">
        <v>14</v>
      </c>
      <c r="B65" s="2">
        <v>0.03</v>
      </c>
      <c r="C65" s="2">
        <v>0.04</v>
      </c>
      <c r="D65" s="2">
        <v>0.06</v>
      </c>
      <c r="E65" s="2">
        <v>7.0000000000000007E-2</v>
      </c>
      <c r="F65" s="2">
        <v>0.12</v>
      </c>
      <c r="G65" s="2">
        <v>0.14000000000000001</v>
      </c>
      <c r="H65" s="2">
        <v>0.3</v>
      </c>
      <c r="I65" s="2">
        <v>0.6</v>
      </c>
      <c r="J65" s="2">
        <v>4.5</v>
      </c>
      <c r="K65" s="2">
        <v>10.5</v>
      </c>
      <c r="L65" s="2">
        <v>0.49</v>
      </c>
      <c r="M65" s="2">
        <v>1.29</v>
      </c>
      <c r="N65" s="2">
        <v>0.38</v>
      </c>
      <c r="O65" s="2">
        <v>0.32</v>
      </c>
      <c r="P65" s="2">
        <v>1.01</v>
      </c>
    </row>
    <row r="66" spans="1:16" x14ac:dyDescent="0.25">
      <c r="A66" s="2" t="s">
        <v>51</v>
      </c>
      <c r="B66" s="2">
        <v>0.25</v>
      </c>
      <c r="C66" s="2">
        <v>0.3</v>
      </c>
      <c r="D66" s="2">
        <v>0.34</v>
      </c>
      <c r="E66" s="2">
        <v>0.35</v>
      </c>
      <c r="F66" s="2">
        <v>0.25</v>
      </c>
      <c r="G66" s="2">
        <v>1</v>
      </c>
      <c r="H66" s="2">
        <v>0.55000000000000004</v>
      </c>
      <c r="I66" s="2">
        <v>0.56000000000000005</v>
      </c>
      <c r="J66" s="2">
        <v>2.7</v>
      </c>
      <c r="K66" s="2">
        <v>5.35</v>
      </c>
      <c r="L66" s="2">
        <v>1.32</v>
      </c>
      <c r="M66" s="2">
        <v>0.98</v>
      </c>
      <c r="N66" s="2">
        <v>0.65</v>
      </c>
      <c r="O66" s="2">
        <v>0.91</v>
      </c>
      <c r="P66" s="2">
        <v>0.21</v>
      </c>
    </row>
    <row r="67" spans="1:16" x14ac:dyDescent="0.25">
      <c r="A67" s="2" t="s">
        <v>52</v>
      </c>
      <c r="B67" s="2">
        <v>7.0000000000000007E-2</v>
      </c>
      <c r="C67" s="2">
        <v>0.09</v>
      </c>
      <c r="D67" s="2">
        <v>0.1</v>
      </c>
      <c r="E67" s="2">
        <v>0.1</v>
      </c>
      <c r="F67" s="2">
        <v>7.0000000000000007E-2</v>
      </c>
      <c r="G67" s="2">
        <v>0.3</v>
      </c>
      <c r="H67" s="2">
        <v>0.35</v>
      </c>
      <c r="I67" s="2">
        <v>0.5</v>
      </c>
      <c r="J67" s="2">
        <v>2.65</v>
      </c>
      <c r="K67" s="2">
        <v>4.8099999999999996</v>
      </c>
      <c r="L67" s="2">
        <v>1.19</v>
      </c>
      <c r="M67" s="2">
        <v>0.88</v>
      </c>
      <c r="N67" s="2">
        <v>0.36</v>
      </c>
      <c r="O67" s="2">
        <v>0.45</v>
      </c>
      <c r="P67" s="2">
        <v>0.1</v>
      </c>
    </row>
    <row r="68" spans="1:16" x14ac:dyDescent="0.25">
      <c r="A68" s="2" t="s">
        <v>53</v>
      </c>
      <c r="B68" s="2">
        <v>0.03</v>
      </c>
      <c r="C68" s="2">
        <v>0.02</v>
      </c>
      <c r="D68" s="2">
        <v>0.04</v>
      </c>
      <c r="E68" s="2">
        <v>0.04</v>
      </c>
      <c r="F68" s="2">
        <v>0.03</v>
      </c>
      <c r="G68" s="2">
        <v>0.04</v>
      </c>
      <c r="H68" s="2">
        <v>0.03</v>
      </c>
      <c r="I68" s="2">
        <v>0.36</v>
      </c>
      <c r="J68" s="2">
        <v>1.53</v>
      </c>
      <c r="K68" s="2">
        <v>1.55</v>
      </c>
      <c r="L68" s="2">
        <v>0.16</v>
      </c>
      <c r="M68" s="2">
        <v>0.54</v>
      </c>
      <c r="N68" s="2">
        <v>0.04</v>
      </c>
      <c r="O68" s="2">
        <v>0.08</v>
      </c>
      <c r="P68" s="2">
        <v>7.0000000000000007E-2</v>
      </c>
    </row>
    <row r="69" spans="1:16" x14ac:dyDescent="0.25">
      <c r="A69" s="2" t="s">
        <v>54</v>
      </c>
      <c r="B69" s="2">
        <v>1.8</v>
      </c>
      <c r="C69" s="2">
        <v>0.5</v>
      </c>
      <c r="D69" s="2">
        <v>0.78</v>
      </c>
      <c r="E69" s="2">
        <v>1.6</v>
      </c>
      <c r="F69" s="2">
        <v>1.67</v>
      </c>
      <c r="G69" s="2">
        <v>1.7</v>
      </c>
      <c r="H69" s="2">
        <v>8.0500000000000007</v>
      </c>
      <c r="I69" s="2">
        <v>0.57999999999999996</v>
      </c>
      <c r="J69" s="2">
        <v>0.15</v>
      </c>
      <c r="K69" s="2">
        <v>0.05</v>
      </c>
      <c r="L69" s="2">
        <v>0.05</v>
      </c>
      <c r="M69" s="2">
        <v>0</v>
      </c>
      <c r="N69" s="2">
        <v>0.54</v>
      </c>
      <c r="O69" s="2">
        <v>1.93</v>
      </c>
      <c r="P69" s="2">
        <v>0.47</v>
      </c>
    </row>
    <row r="70" spans="1:16" x14ac:dyDescent="0.25">
      <c r="A70" s="6"/>
    </row>
    <row r="71" spans="1:16" x14ac:dyDescent="0.25">
      <c r="A71" s="6"/>
    </row>
    <row r="72" spans="1:16" x14ac:dyDescent="0.25">
      <c r="A72" s="6"/>
      <c r="B72" s="1" t="str">
        <f t="shared" ref="B72:P72" si="47">B49</f>
        <v>Kукуруза</v>
      </c>
      <c r="C72" s="1" t="str">
        <f t="shared" si="47"/>
        <v>пшеница</v>
      </c>
      <c r="D72" s="1" t="str">
        <f t="shared" si="47"/>
        <v>ячмень</v>
      </c>
      <c r="E72" s="1" t="str">
        <f t="shared" si="47"/>
        <v>ячмень шелушённый</v>
      </c>
      <c r="F72" s="1" t="str">
        <f t="shared" si="47"/>
        <v>овёс шелушённый</v>
      </c>
      <c r="G72" s="1" t="str">
        <f t="shared" si="47"/>
        <v>отруби пш.</v>
      </c>
      <c r="H72" s="1" t="str">
        <f t="shared" si="47"/>
        <v>Соя полножирная</v>
      </c>
      <c r="I72" s="1" t="str">
        <f t="shared" si="47"/>
        <v>Мука перьевая</v>
      </c>
      <c r="J72" s="1" t="str">
        <f t="shared" si="47"/>
        <v>Рыбная мука</v>
      </c>
      <c r="K72" s="1" t="str">
        <f t="shared" si="47"/>
        <v>Мясокостная мука</v>
      </c>
      <c r="L72" s="1" t="str">
        <f t="shared" si="47"/>
        <v>дрожжи кормовые</v>
      </c>
      <c r="M72" s="1" t="str">
        <f t="shared" si="47"/>
        <v xml:space="preserve">молоко сухое </v>
      </c>
      <c r="N72" s="1" t="str">
        <f t="shared" si="47"/>
        <v>шрот соевый</v>
      </c>
      <c r="O72" s="1" t="str">
        <f t="shared" si="47"/>
        <v>шрот подсолнечный</v>
      </c>
      <c r="P72" s="1" t="str">
        <f t="shared" si="47"/>
        <v>травяная мука</v>
      </c>
    </row>
    <row r="73" spans="1:16" x14ac:dyDescent="0.25">
      <c r="A73" s="2"/>
      <c r="B73" s="63" t="s">
        <v>84</v>
      </c>
      <c r="C73" s="63"/>
      <c r="D73" s="63"/>
      <c r="E73" s="63"/>
      <c r="F73" s="63"/>
      <c r="L73" s="6"/>
    </row>
    <row r="74" spans="1:16" x14ac:dyDescent="0.25">
      <c r="A74" s="2"/>
      <c r="B74" s="8" t="s">
        <v>85</v>
      </c>
      <c r="C74" s="8" t="s">
        <v>86</v>
      </c>
      <c r="D74" s="5" t="s">
        <v>87</v>
      </c>
      <c r="E74" s="5" t="s">
        <v>88</v>
      </c>
      <c r="F74" s="5" t="s">
        <v>89</v>
      </c>
      <c r="I74" s="60" t="s">
        <v>90</v>
      </c>
      <c r="J74" s="60"/>
      <c r="K74" s="60"/>
      <c r="L74" s="60"/>
      <c r="M74" s="60"/>
    </row>
    <row r="75" spans="1:16" x14ac:dyDescent="0.25">
      <c r="A75" s="2" t="s">
        <v>91</v>
      </c>
      <c r="B75" s="5">
        <v>1215</v>
      </c>
      <c r="C75" s="5">
        <v>1089</v>
      </c>
      <c r="D75" s="5">
        <v>1131</v>
      </c>
      <c r="E75" s="5">
        <v>1131</v>
      </c>
      <c r="F75" s="5">
        <v>1050</v>
      </c>
      <c r="I75" s="8" t="s">
        <v>92</v>
      </c>
      <c r="J75" s="8" t="s">
        <v>93</v>
      </c>
      <c r="K75" s="8" t="s">
        <v>94</v>
      </c>
      <c r="L75" s="8"/>
      <c r="M75" s="2"/>
    </row>
    <row r="76" spans="1:16" x14ac:dyDescent="0.25">
      <c r="A76" s="2" t="s">
        <v>39</v>
      </c>
      <c r="B76" s="5">
        <v>20</v>
      </c>
      <c r="C76" s="5">
        <v>15</v>
      </c>
      <c r="D76" s="5">
        <v>16</v>
      </c>
      <c r="E76" s="5">
        <f>17</f>
        <v>17</v>
      </c>
      <c r="F76" s="5">
        <f>16</f>
        <v>16</v>
      </c>
      <c r="H76" s="2" t="s">
        <v>91</v>
      </c>
      <c r="I76" s="7">
        <v>310</v>
      </c>
      <c r="J76" s="7">
        <v>315</v>
      </c>
      <c r="K76" s="7">
        <v>320</v>
      </c>
      <c r="L76" s="7"/>
      <c r="M76" s="2"/>
    </row>
    <row r="77" spans="1:16" x14ac:dyDescent="0.25">
      <c r="A77" s="2" t="s">
        <v>9</v>
      </c>
      <c r="B77" s="5">
        <v>1</v>
      </c>
      <c r="C77" s="5">
        <v>0.65</v>
      </c>
      <c r="D77" s="5">
        <v>0.8</v>
      </c>
      <c r="E77" s="5">
        <v>0.8</v>
      </c>
      <c r="F77" s="5">
        <v>0.75</v>
      </c>
      <c r="H77" s="2" t="s">
        <v>39</v>
      </c>
      <c r="I77" s="5">
        <v>23</v>
      </c>
      <c r="J77" s="5">
        <v>21</v>
      </c>
      <c r="K77" s="5">
        <v>20</v>
      </c>
      <c r="L77" s="5"/>
      <c r="M77" s="2"/>
    </row>
    <row r="78" spans="1:16" x14ac:dyDescent="0.25">
      <c r="A78" s="2" t="s">
        <v>40</v>
      </c>
      <c r="B78" s="5">
        <v>0.75</v>
      </c>
      <c r="C78" s="5">
        <v>0.55000000000000004</v>
      </c>
      <c r="D78" s="5">
        <v>0.65</v>
      </c>
      <c r="E78" s="5">
        <v>0.65</v>
      </c>
      <c r="F78" s="5">
        <v>0.62</v>
      </c>
      <c r="H78" s="2" t="s">
        <v>9</v>
      </c>
      <c r="I78" s="5">
        <v>1.25</v>
      </c>
      <c r="J78" s="5">
        <v>1.1399999999999999</v>
      </c>
      <c r="K78" s="5">
        <v>1.0900000000000001</v>
      </c>
      <c r="L78" s="5"/>
      <c r="M78" s="2"/>
    </row>
    <row r="79" spans="1:16" x14ac:dyDescent="0.25">
      <c r="A79" s="6" t="s">
        <v>41</v>
      </c>
      <c r="B79" s="5">
        <v>0.2</v>
      </c>
      <c r="C79" s="5">
        <v>0.15</v>
      </c>
      <c r="D79" s="5">
        <v>0.16</v>
      </c>
      <c r="E79" s="5">
        <v>0.17</v>
      </c>
      <c r="F79" s="5">
        <v>0.16</v>
      </c>
      <c r="H79" s="2" t="s">
        <v>40</v>
      </c>
      <c r="I79" s="5">
        <v>0.92</v>
      </c>
      <c r="J79" s="5">
        <v>0.84</v>
      </c>
      <c r="K79" s="5">
        <v>0.8</v>
      </c>
      <c r="L79" s="5"/>
      <c r="M79" s="2"/>
    </row>
    <row r="80" spans="1:16" ht="30" x14ac:dyDescent="0.25">
      <c r="A80" s="6" t="s">
        <v>42</v>
      </c>
      <c r="B80" s="5">
        <v>1.1000000000000001</v>
      </c>
      <c r="C80" s="5">
        <v>0.82</v>
      </c>
      <c r="D80" s="5">
        <v>0.88</v>
      </c>
      <c r="E80" s="5">
        <v>0.9</v>
      </c>
      <c r="F80" s="5">
        <v>0.85</v>
      </c>
      <c r="H80" s="6" t="s">
        <v>41</v>
      </c>
      <c r="I80" s="5">
        <v>0.23</v>
      </c>
      <c r="J80" s="5">
        <v>0.21</v>
      </c>
      <c r="K80" s="5">
        <v>0.2</v>
      </c>
      <c r="L80" s="5"/>
      <c r="M80" s="2"/>
    </row>
    <row r="81" spans="1:13" x14ac:dyDescent="0.25">
      <c r="A81" s="6" t="s">
        <v>43</v>
      </c>
      <c r="B81" s="5">
        <v>0.35</v>
      </c>
      <c r="C81" s="5">
        <v>0.27</v>
      </c>
      <c r="D81" s="5">
        <v>0.28000000000000003</v>
      </c>
      <c r="E81" s="5">
        <v>0.34</v>
      </c>
      <c r="F81" s="5">
        <v>0.32</v>
      </c>
      <c r="H81" s="6" t="s">
        <v>42</v>
      </c>
      <c r="I81" s="5">
        <v>1.25</v>
      </c>
      <c r="J81" s="5">
        <v>1.1399999999999999</v>
      </c>
      <c r="K81" s="5">
        <v>1.0900000000000001</v>
      </c>
      <c r="L81" s="5"/>
      <c r="M81" s="2"/>
    </row>
    <row r="82" spans="1:13" x14ac:dyDescent="0.25">
      <c r="A82" s="6" t="s">
        <v>44</v>
      </c>
      <c r="B82" s="5">
        <v>1.4</v>
      </c>
      <c r="C82" s="5">
        <v>1.05</v>
      </c>
      <c r="D82" s="5">
        <v>1.1200000000000001</v>
      </c>
      <c r="E82" s="5">
        <v>1.3</v>
      </c>
      <c r="F82" s="5">
        <v>1.28</v>
      </c>
      <c r="H82" s="6" t="s">
        <v>43</v>
      </c>
      <c r="I82" s="5">
        <v>0.48</v>
      </c>
      <c r="J82" s="5">
        <v>0.44</v>
      </c>
      <c r="K82" s="5">
        <v>0.42</v>
      </c>
      <c r="L82" s="5"/>
      <c r="M82" s="2"/>
    </row>
    <row r="83" spans="1:13" x14ac:dyDescent="0.25">
      <c r="A83" s="6" t="s">
        <v>45</v>
      </c>
      <c r="B83" s="5">
        <v>0.7</v>
      </c>
      <c r="C83" s="5">
        <v>0.52</v>
      </c>
      <c r="D83" s="5">
        <v>0.56000000000000005</v>
      </c>
      <c r="E83" s="5">
        <v>0.66</v>
      </c>
      <c r="F83" s="5">
        <v>0.62</v>
      </c>
      <c r="H83" s="6" t="s">
        <v>44</v>
      </c>
      <c r="I83" s="5">
        <v>1.61</v>
      </c>
      <c r="J83" s="5">
        <v>1.47</v>
      </c>
      <c r="K83" s="5">
        <v>1.4</v>
      </c>
      <c r="L83" s="5"/>
      <c r="M83" s="2"/>
    </row>
    <row r="84" spans="1:13" ht="30" x14ac:dyDescent="0.25">
      <c r="A84" s="6" t="s">
        <v>13</v>
      </c>
      <c r="B84" s="5">
        <v>0.63</v>
      </c>
      <c r="C84" s="5">
        <v>0.47</v>
      </c>
      <c r="D84" s="5">
        <v>0.5</v>
      </c>
      <c r="E84" s="5">
        <v>0.54</v>
      </c>
      <c r="F84" s="5">
        <v>0.51</v>
      </c>
      <c r="H84" s="6" t="s">
        <v>45</v>
      </c>
      <c r="I84" s="5">
        <v>0.88</v>
      </c>
      <c r="J84" s="5">
        <v>0.8</v>
      </c>
      <c r="K84" s="5">
        <v>0.76</v>
      </c>
      <c r="L84" s="5"/>
      <c r="M84" s="2"/>
    </row>
    <row r="85" spans="1:13" ht="30" x14ac:dyDescent="0.25">
      <c r="A85" s="6" t="s">
        <v>83</v>
      </c>
      <c r="B85" s="5">
        <v>1.2</v>
      </c>
      <c r="C85" s="5">
        <v>0.9</v>
      </c>
      <c r="D85" s="5">
        <v>0.96</v>
      </c>
      <c r="E85" s="5">
        <v>0.94</v>
      </c>
      <c r="F85" s="5">
        <v>0.88</v>
      </c>
      <c r="H85" s="6" t="s">
        <v>13</v>
      </c>
      <c r="I85" s="5">
        <v>0.8</v>
      </c>
      <c r="J85" s="5">
        <v>0.74</v>
      </c>
      <c r="K85" s="5">
        <v>0.69</v>
      </c>
      <c r="L85" s="5"/>
      <c r="M85" s="2"/>
    </row>
    <row r="86" spans="1:13" x14ac:dyDescent="0.25">
      <c r="A86" s="6" t="s">
        <v>11</v>
      </c>
      <c r="B86" s="5">
        <v>0.7</v>
      </c>
      <c r="C86" s="5">
        <v>0.53</v>
      </c>
      <c r="D86" s="5">
        <v>0.55000000000000004</v>
      </c>
      <c r="E86" s="5">
        <v>0.56000000000000005</v>
      </c>
      <c r="F86" s="5">
        <v>0.5</v>
      </c>
      <c r="H86" s="6" t="s">
        <v>83</v>
      </c>
      <c r="I86" s="5">
        <v>1.49</v>
      </c>
      <c r="J86" s="5">
        <v>1.39</v>
      </c>
      <c r="K86" s="5">
        <v>1.3</v>
      </c>
      <c r="L86" s="5"/>
      <c r="M86" s="2"/>
    </row>
    <row r="87" spans="1:13" x14ac:dyDescent="0.25">
      <c r="A87" s="6" t="s">
        <v>48</v>
      </c>
      <c r="B87" s="5">
        <v>0.8</v>
      </c>
      <c r="C87" s="5">
        <v>0.6</v>
      </c>
      <c r="D87" s="5">
        <v>0.64</v>
      </c>
      <c r="E87" s="5">
        <v>0.64</v>
      </c>
      <c r="F87" s="5">
        <v>0.6</v>
      </c>
      <c r="H87" s="6" t="s">
        <v>11</v>
      </c>
      <c r="I87" s="5">
        <v>0.84</v>
      </c>
      <c r="J87" s="5">
        <v>0.77</v>
      </c>
      <c r="K87" s="5">
        <v>0.73</v>
      </c>
      <c r="L87" s="5"/>
      <c r="M87" s="2"/>
    </row>
    <row r="88" spans="1:13" x14ac:dyDescent="0.25">
      <c r="A88" s="6" t="s">
        <v>49</v>
      </c>
      <c r="B88" s="5">
        <v>1</v>
      </c>
      <c r="C88" s="5">
        <v>0.75</v>
      </c>
      <c r="D88" s="5">
        <v>0.8</v>
      </c>
      <c r="E88" s="5">
        <v>0.79</v>
      </c>
      <c r="F88" s="5">
        <v>0.74</v>
      </c>
      <c r="H88" s="6" t="s">
        <v>48</v>
      </c>
      <c r="I88" s="5">
        <v>0.98</v>
      </c>
      <c r="J88" s="5">
        <v>0.89</v>
      </c>
      <c r="K88" s="5">
        <v>0.85</v>
      </c>
      <c r="L88" s="5"/>
      <c r="M88" s="2"/>
    </row>
    <row r="89" spans="1:13" x14ac:dyDescent="0.25">
      <c r="A89" s="2" t="s">
        <v>50</v>
      </c>
      <c r="B89" s="4">
        <v>4</v>
      </c>
      <c r="C89" s="4">
        <v>5</v>
      </c>
      <c r="D89" s="4">
        <v>5</v>
      </c>
      <c r="E89" s="4">
        <v>5</v>
      </c>
      <c r="F89" s="4">
        <v>5</v>
      </c>
      <c r="H89" s="6" t="s">
        <v>49</v>
      </c>
      <c r="I89" s="5">
        <v>1.04</v>
      </c>
      <c r="J89" s="5">
        <v>0.95</v>
      </c>
      <c r="K89" s="5">
        <v>0.9</v>
      </c>
      <c r="L89" s="5"/>
      <c r="M89" s="2"/>
    </row>
    <row r="90" spans="1:13" x14ac:dyDescent="0.25">
      <c r="A90" s="2" t="s">
        <v>14</v>
      </c>
      <c r="B90" s="4">
        <v>1.1000000000000001</v>
      </c>
      <c r="C90" s="4">
        <v>1.2</v>
      </c>
      <c r="D90" s="4">
        <v>2.2000000000000002</v>
      </c>
      <c r="E90" s="4">
        <v>3.6</v>
      </c>
      <c r="F90" s="4">
        <v>3.8</v>
      </c>
      <c r="H90" s="2" t="s">
        <v>50</v>
      </c>
      <c r="I90" s="2">
        <v>4</v>
      </c>
      <c r="J90" s="2">
        <v>4</v>
      </c>
      <c r="K90" s="2">
        <v>4</v>
      </c>
      <c r="L90" s="2"/>
      <c r="M90" s="2"/>
    </row>
    <row r="91" spans="1:13" x14ac:dyDescent="0.25">
      <c r="A91" s="2" t="s">
        <v>51</v>
      </c>
      <c r="B91" s="4">
        <v>0.6</v>
      </c>
      <c r="C91" s="3">
        <v>0.7</v>
      </c>
      <c r="D91" s="3">
        <v>0.7</v>
      </c>
      <c r="E91" s="3">
        <v>0.7</v>
      </c>
      <c r="F91" s="3">
        <v>0.6</v>
      </c>
      <c r="H91" s="2" t="s">
        <v>14</v>
      </c>
      <c r="I91" s="2">
        <v>1</v>
      </c>
      <c r="J91" s="2">
        <v>1.1000000000000001</v>
      </c>
      <c r="K91" s="2">
        <v>1.2</v>
      </c>
      <c r="L91" s="2"/>
      <c r="M91" s="2"/>
    </row>
    <row r="92" spans="1:13" x14ac:dyDescent="0.25">
      <c r="A92" s="2" t="s">
        <v>52</v>
      </c>
      <c r="B92" s="4">
        <v>0.45</v>
      </c>
      <c r="C92" s="3">
        <v>0.4</v>
      </c>
      <c r="D92" s="3">
        <v>0.4</v>
      </c>
      <c r="E92" s="3">
        <v>0.4</v>
      </c>
      <c r="F92" s="3">
        <v>0.34</v>
      </c>
      <c r="H92" s="2" t="s">
        <v>51</v>
      </c>
      <c r="I92" s="2">
        <v>0.7</v>
      </c>
      <c r="J92" s="2">
        <v>0.7</v>
      </c>
      <c r="K92" s="2">
        <v>0.7</v>
      </c>
      <c r="L92" s="2"/>
      <c r="M92" s="2"/>
    </row>
    <row r="93" spans="1:13" x14ac:dyDescent="0.25">
      <c r="A93" s="2" t="s">
        <v>53</v>
      </c>
      <c r="B93" s="4">
        <v>0.2</v>
      </c>
      <c r="C93" s="3">
        <v>0.2</v>
      </c>
      <c r="D93" s="3">
        <v>0.2</v>
      </c>
      <c r="E93" s="3">
        <v>0.2</v>
      </c>
      <c r="F93" s="3">
        <v>0.2</v>
      </c>
      <c r="H93" s="2" t="s">
        <v>52</v>
      </c>
      <c r="I93" s="2">
        <v>0.4</v>
      </c>
      <c r="J93" s="2">
        <v>0.4</v>
      </c>
      <c r="K93" s="2">
        <v>0.4</v>
      </c>
      <c r="L93" s="2"/>
      <c r="M93" s="2"/>
    </row>
    <row r="94" spans="1:13" x14ac:dyDescent="0.25">
      <c r="A94" s="2" t="s">
        <v>54</v>
      </c>
      <c r="B94" s="4">
        <v>1.4</v>
      </c>
      <c r="C94" s="3">
        <v>1</v>
      </c>
      <c r="D94" s="3">
        <v>1.1000000000000001</v>
      </c>
      <c r="E94" s="3">
        <v>1.7</v>
      </c>
      <c r="F94" s="3">
        <v>1.2</v>
      </c>
      <c r="H94" s="2" t="s">
        <v>53</v>
      </c>
      <c r="I94" s="2">
        <v>0.2</v>
      </c>
      <c r="J94" s="2">
        <v>0.2</v>
      </c>
      <c r="K94" s="2">
        <v>0.2</v>
      </c>
      <c r="L94" s="2"/>
      <c r="M94" s="2"/>
    </row>
    <row r="95" spans="1:13" x14ac:dyDescent="0.25">
      <c r="H95" s="2" t="s">
        <v>54</v>
      </c>
      <c r="I95" s="2">
        <v>1.4</v>
      </c>
      <c r="J95" s="2">
        <v>1.3</v>
      </c>
      <c r="K95" s="2">
        <v>1.2</v>
      </c>
      <c r="L95" s="2"/>
      <c r="M95" s="2"/>
    </row>
    <row r="111" spans="1:9" x14ac:dyDescent="0.25">
      <c r="A111" s="56" t="s">
        <v>108</v>
      </c>
      <c r="B111" s="1">
        <v>1.8</v>
      </c>
      <c r="C111" s="1">
        <v>1.9</v>
      </c>
      <c r="D111" s="1">
        <v>2</v>
      </c>
      <c r="E111" s="1">
        <v>2.1</v>
      </c>
      <c r="F111" s="1">
        <v>2.2000000000000002</v>
      </c>
      <c r="G111" s="1">
        <v>2.2999999999999998</v>
      </c>
      <c r="H111" s="1">
        <v>2.4</v>
      </c>
      <c r="I111" s="1">
        <v>2.5</v>
      </c>
    </row>
    <row r="112" spans="1:9" x14ac:dyDescent="0.25">
      <c r="A112" s="56" t="s">
        <v>110</v>
      </c>
      <c r="B112" s="37">
        <f>POWER(B111,0.75)</f>
        <v>1.554012038466811</v>
      </c>
      <c r="C112" s="37">
        <f t="shared" ref="C112:I112" si="48">POWER(C111,0.75)</f>
        <v>1.6183229785482074</v>
      </c>
      <c r="D112" s="37">
        <f t="shared" si="48"/>
        <v>1.681792830507429</v>
      </c>
      <c r="E112" s="37">
        <f t="shared" si="48"/>
        <v>1.7444738796266861</v>
      </c>
      <c r="F112" s="37">
        <f t="shared" si="48"/>
        <v>1.8064128360710052</v>
      </c>
      <c r="G112" s="37">
        <f t="shared" si="48"/>
        <v>1.8676516549570246</v>
      </c>
      <c r="H112" s="37">
        <f t="shared" si="48"/>
        <v>1.928228205467164</v>
      </c>
      <c r="I112" s="37">
        <f t="shared" si="48"/>
        <v>1.9881768219176268</v>
      </c>
    </row>
  </sheetData>
  <mergeCells count="6">
    <mergeCell ref="AN1:AS1"/>
    <mergeCell ref="A1:N1"/>
    <mergeCell ref="I74:M74"/>
    <mergeCell ref="A42:K42"/>
    <mergeCell ref="A39:H39"/>
    <mergeCell ref="B73:F7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6</cp:revision>
  <dcterms:created xsi:type="dcterms:W3CDTF">2006-09-28T08:33:49Z</dcterms:created>
  <dcterms:modified xsi:type="dcterms:W3CDTF">2015-04-13T15:54:47Z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Поле 1">
    <vt:lpwstr/>
  </property>
  <property fmtid="{D5CDD505-2E9C-101B-9397-08002B2CF9AE}" pid="3" name="Поле 2">
    <vt:lpwstr/>
  </property>
  <property fmtid="{D5CDD505-2E9C-101B-9397-08002B2CF9AE}" pid="4" name="Поле 3">
    <vt:lpwstr/>
  </property>
  <property fmtid="{D5CDD505-2E9C-101B-9397-08002B2CF9AE}" pid="5" name="Поле 4">
    <vt:lpwstr/>
  </property>
</Properties>
</file>