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9" activeTab="6"/>
  </bookViews>
  <sheets>
    <sheet name="потребность в кормах" sheetId="1" r:id="rId1"/>
    <sheet name="Производство продукции" sheetId="2" r:id="rId2"/>
    <sheet name="расходы на корма" sheetId="3" r:id="rId3"/>
    <sheet name="Credit" sheetId="4" r:id="rId4"/>
    <sheet name="Вал" sheetId="5" r:id="rId5"/>
    <sheet name="окупаемость" sheetId="6" r:id="rId6"/>
    <sheet name="Себестоимость кормов" sheetId="7" r:id="rId7"/>
    <sheet name="кредит" sheetId="8" r:id="rId8"/>
  </sheets>
  <definedNames>
    <definedName name="_xlnm.Print_Area" localSheetId="5">'окупаемость'!$A$1:$N$200</definedName>
    <definedName name="_xlnm.Print_Area" localSheetId="1">'Производство продукции'!$A$1:$R$548</definedName>
  </definedNames>
  <calcPr fullCalcOnLoad="1" refMode="R1C1"/>
</workbook>
</file>

<file path=xl/comments1.xml><?xml version="1.0" encoding="utf-8"?>
<comments xmlns="http://schemas.openxmlformats.org/spreadsheetml/2006/main">
  <authors>
    <author>саша</author>
  </authors>
  <commentList>
    <comment ref="B5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первый месяц завоза животных, при условии комплектования фермы нетелями 2-3-х месячной стельности (примерный возраст 18-19 месяцев), при поэтапном завозе (4 партии по 120 голов с интервалом 2 месяца)</t>
        </r>
      </text>
    </comment>
    <comment ref="C264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продажа "лишних" нетелей - 24 головы</t>
        </r>
      </text>
    </comment>
    <comment ref="C279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продажа "лишних" нетелей - 8 голов</t>
        </r>
      </text>
    </comment>
    <comment ref="C295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продажа "лишних" нетелей - 8 голов</t>
        </r>
      </text>
    </comment>
    <comment ref="C311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продажа "лишних" нетелей - 4 голов</t>
        </r>
      </text>
    </comment>
    <comment ref="C327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продажа "лишних" нетелей - 4 голов</t>
        </r>
      </text>
    </comment>
    <comment ref="C344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продажа "лишних" нетелей - 4 голов</t>
        </r>
      </text>
    </comment>
    <comment ref="C378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продажа "лишних" нетелей - 4 голов</t>
        </r>
      </text>
    </comment>
    <comment ref="C618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продажа 60 нетелей в год</t>
        </r>
      </text>
    </comment>
  </commentList>
</comments>
</file>

<file path=xl/comments2.xml><?xml version="1.0" encoding="utf-8"?>
<comments xmlns="http://schemas.openxmlformats.org/spreadsheetml/2006/main">
  <authors>
    <author>саша</author>
  </authors>
  <commentList>
    <comment ref="B3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первый месяц - месяц завоза первой партии нетелей</t>
        </r>
      </text>
    </comment>
    <comment ref="B32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первый месяц - месяц завоза первой партии нетелей</t>
        </r>
      </text>
    </comment>
    <comment ref="B142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первый месяц - месяц завоза первой партии нетелей</t>
        </r>
      </text>
    </comment>
    <comment ref="B286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первый месяц - месяц завоза первой партии нетелей</t>
        </r>
      </text>
    </comment>
    <comment ref="B521" authorId="0">
      <text>
        <r>
          <rPr>
            <b/>
            <sz val="9"/>
            <rFont val="Tahoma"/>
            <family val="0"/>
          </rPr>
          <t>саша:</t>
        </r>
        <r>
          <rPr>
            <sz val="9"/>
            <rFont val="Tahoma"/>
            <family val="0"/>
          </rPr>
          <t xml:space="preserve">
первый месяц - месяц завоза первой партии нетелей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B17" authorId="0">
      <text>
        <r>
          <rPr>
            <b/>
            <sz val="8"/>
            <color indexed="8"/>
            <rFont val="Times New Roman"/>
            <family val="1"/>
          </rPr>
          <t xml:space="preserve">Автор:
</t>
        </r>
        <r>
          <rPr>
            <sz val="8"/>
            <color indexed="8"/>
            <rFont val="Times New Roman"/>
            <family val="1"/>
          </rPr>
          <t xml:space="preserve">на пятый лист (высота растений 10-15 см)
</t>
        </r>
      </text>
    </comment>
    <comment ref="D19" authorId="0">
      <text>
        <r>
          <rPr>
            <b/>
            <sz val="8"/>
            <color indexed="8"/>
            <rFont val="Times New Roman"/>
            <family val="1"/>
          </rPr>
          <t xml:space="preserve">Автор:
</t>
        </r>
        <r>
          <rPr>
            <sz val="8"/>
            <color indexed="8"/>
            <rFont val="Times New Roman"/>
            <family val="1"/>
          </rPr>
          <t>аренда 15000 рублей сутки</t>
        </r>
      </text>
    </comment>
  </commentList>
</comments>
</file>

<file path=xl/sharedStrings.xml><?xml version="1.0" encoding="utf-8"?>
<sst xmlns="http://schemas.openxmlformats.org/spreadsheetml/2006/main" count="1320" uniqueCount="297">
  <si>
    <t>год</t>
  </si>
  <si>
    <t>месяц</t>
  </si>
  <si>
    <t>возрастная группа</t>
  </si>
  <si>
    <t>кол-во животных</t>
  </si>
  <si>
    <t>потребность в кормах (кг)</t>
  </si>
  <si>
    <t>водопотребление, л.</t>
  </si>
  <si>
    <t>солома для подстилки,кг</t>
  </si>
  <si>
    <t>сенаж</t>
  </si>
  <si>
    <t>силос</t>
  </si>
  <si>
    <t>сено</t>
  </si>
  <si>
    <t>КК-62</t>
  </si>
  <si>
    <t>КК-65</t>
  </si>
  <si>
    <t>КК-60</t>
  </si>
  <si>
    <t>молоко (ЗЦМ)</t>
  </si>
  <si>
    <t>содержание</t>
  </si>
  <si>
    <t>всего с родилкой</t>
  </si>
  <si>
    <t>нетели 18-19 м</t>
  </si>
  <si>
    <t>нетели 19-20 м</t>
  </si>
  <si>
    <t>нетели 20-21 м</t>
  </si>
  <si>
    <t>итого 3-й месяц</t>
  </si>
  <si>
    <t>нетели 21-22 м</t>
  </si>
  <si>
    <t>итого 4-й месяц</t>
  </si>
  <si>
    <t>нетели 22-23 м</t>
  </si>
  <si>
    <t>итого 5-й месяц</t>
  </si>
  <si>
    <t>нетели 23-24 м</t>
  </si>
  <si>
    <t>итого 6-й месяц</t>
  </si>
  <si>
    <t>нетели 24-25 м</t>
  </si>
  <si>
    <t>итого 7-й месяц</t>
  </si>
  <si>
    <t>нетели 25 м</t>
  </si>
  <si>
    <t>коровы 1 гр</t>
  </si>
  <si>
    <t>телята 0-1</t>
  </si>
  <si>
    <t>итого 8-й месяц</t>
  </si>
  <si>
    <t>тёлки 1-2</t>
  </si>
  <si>
    <t>итого 9-й месяц</t>
  </si>
  <si>
    <t>тёлки 2-3</t>
  </si>
  <si>
    <t>итого 10-й месяц</t>
  </si>
  <si>
    <t>коровы 2 гр</t>
  </si>
  <si>
    <t>тёлки 3-4</t>
  </si>
  <si>
    <t>итого 11-й месяц</t>
  </si>
  <si>
    <t>тёлки 4-5</t>
  </si>
  <si>
    <t>итого 12-й месяц</t>
  </si>
  <si>
    <t>всего за 1-й год</t>
  </si>
  <si>
    <t>тёлки 5-6</t>
  </si>
  <si>
    <t>итого 1-й месяц</t>
  </si>
  <si>
    <t>тёлки 6-7</t>
  </si>
  <si>
    <t>итого 2-й месяц</t>
  </si>
  <si>
    <t xml:space="preserve">тёлки 7-8 </t>
  </si>
  <si>
    <t>тёлки 8-9</t>
  </si>
  <si>
    <t>тёлки 7-9</t>
  </si>
  <si>
    <t>тёлки 10</t>
  </si>
  <si>
    <t>тёлки 10-11</t>
  </si>
  <si>
    <t>коровы сухост.</t>
  </si>
  <si>
    <t>тёлки 10-12</t>
  </si>
  <si>
    <t>тёлки 13</t>
  </si>
  <si>
    <t>тёлки 13-14</t>
  </si>
  <si>
    <t>тёлки 13-15</t>
  </si>
  <si>
    <t>тёлки 16</t>
  </si>
  <si>
    <t>тёлки 16-17</t>
  </si>
  <si>
    <t>всего за 2-й год</t>
  </si>
  <si>
    <t>тёлки 16-18</t>
  </si>
  <si>
    <t>итого за 1-й месяц</t>
  </si>
  <si>
    <t>нетели 19</t>
  </si>
  <si>
    <t>итого за 2-й месяц</t>
  </si>
  <si>
    <t>нетели 19-20</t>
  </si>
  <si>
    <t>итого за 3-й месяц</t>
  </si>
  <si>
    <t>нетели 19-21</t>
  </si>
  <si>
    <t>итого за 4-й месяц</t>
  </si>
  <si>
    <t>нетели 22</t>
  </si>
  <si>
    <t>итого за 5-й месяц</t>
  </si>
  <si>
    <t>итого за 6-й месяц</t>
  </si>
  <si>
    <t>нетели 22-24 м</t>
  </si>
  <si>
    <t>итого за 7-й месяц</t>
  </si>
  <si>
    <t>итого за 8-й месяц</t>
  </si>
  <si>
    <t>итого за 9-й месяц</t>
  </si>
  <si>
    <t>итого за 10-й месяц</t>
  </si>
  <si>
    <t>итого за 11-й месяц</t>
  </si>
  <si>
    <t>итого за 12-й месяц</t>
  </si>
  <si>
    <t>всего за 3-й год</t>
  </si>
  <si>
    <t>итого за 12 месяц</t>
  </si>
  <si>
    <t>всего за 4-й год</t>
  </si>
  <si>
    <t>Поголовье фермы составляет проектное</t>
  </si>
  <si>
    <t>всего за 5-й год</t>
  </si>
  <si>
    <t>В последующие годы эксплуатации фермы ежегодная потребность в кормах аналогична 5-му году</t>
  </si>
  <si>
    <t>нетели 25-26 м</t>
  </si>
  <si>
    <t>дойные коровы</t>
  </si>
  <si>
    <t>выбраковка на мясо</t>
  </si>
  <si>
    <t>№ лактации</t>
  </si>
  <si>
    <t>месяц лактации</t>
  </si>
  <si>
    <t>средний дневной удой 1 коровы, л</t>
  </si>
  <si>
    <t>среднемесячный удой на 1 корову, л</t>
  </si>
  <si>
    <t>кол-во коров, гол</t>
  </si>
  <si>
    <t>кол-во молока, л</t>
  </si>
  <si>
    <t>кол-во, гол</t>
  </si>
  <si>
    <t>вес, кг</t>
  </si>
  <si>
    <t>цена, кг. ж.в.</t>
  </si>
  <si>
    <t>итого 9 мес</t>
  </si>
  <si>
    <t>итого 10 мес</t>
  </si>
  <si>
    <t>итого 11 мес</t>
  </si>
  <si>
    <t>итого 12 мес</t>
  </si>
  <si>
    <t>итого 1 мес</t>
  </si>
  <si>
    <t>итого 2 мес</t>
  </si>
  <si>
    <t>итого 3 мес</t>
  </si>
  <si>
    <t>итого 4 мес</t>
  </si>
  <si>
    <t>итого 5 мес</t>
  </si>
  <si>
    <t>итого 6 мес</t>
  </si>
  <si>
    <t>сухостой</t>
  </si>
  <si>
    <t>итого 7 мес</t>
  </si>
  <si>
    <t>итого 8 мес</t>
  </si>
  <si>
    <t>12 и выше</t>
  </si>
  <si>
    <t>1 и 2</t>
  </si>
  <si>
    <t>1 и 3</t>
  </si>
  <si>
    <t>в последующие месяцы производство продукции примерно соответствует первому месяцу пятого года</t>
  </si>
  <si>
    <t>вид корма</t>
  </si>
  <si>
    <t>Итоговая сумма, т.р.</t>
  </si>
  <si>
    <t>вода</t>
  </si>
  <si>
    <t>солома на подстилку</t>
  </si>
  <si>
    <t>Молоко (ЗЦМ)</t>
  </si>
  <si>
    <t>кол-во,л</t>
  </si>
  <si>
    <t>цена,р</t>
  </si>
  <si>
    <t>сумма, т.р</t>
  </si>
  <si>
    <t>кол-во,кг</t>
  </si>
  <si>
    <t>сумма,т.р</t>
  </si>
  <si>
    <t>итого за 1-й год</t>
  </si>
  <si>
    <t>итого за 2-й год</t>
  </si>
  <si>
    <t>итого за 3-й год</t>
  </si>
  <si>
    <t>итого за 4-й год</t>
  </si>
  <si>
    <t>итого за 5-й год</t>
  </si>
  <si>
    <t>6-й и последующие годы потребность в кормах соответствует 5-му году</t>
  </si>
  <si>
    <t>за 1-й год, тыс. руб</t>
  </si>
  <si>
    <t>строительство</t>
  </si>
  <si>
    <t>приобретение техники и материалов</t>
  </si>
  <si>
    <t>приобретение животных</t>
  </si>
  <si>
    <t>корма</t>
  </si>
  <si>
    <t>подстилка</t>
  </si>
  <si>
    <t>ветпрепараты, лаб. исследования</t>
  </si>
  <si>
    <t>зоотехния</t>
  </si>
  <si>
    <t>электроэнергия</t>
  </si>
  <si>
    <t>ФОТ</t>
  </si>
  <si>
    <t>хознужды</t>
  </si>
  <si>
    <t>ГСМ</t>
  </si>
  <si>
    <t>прочие</t>
  </si>
  <si>
    <t>продажа плем. нетелей</t>
  </si>
  <si>
    <t>итого выручка, тыс. руб</t>
  </si>
  <si>
    <t>за 2-й год, тыс. руб</t>
  </si>
  <si>
    <t>за 3-й год, тыс. руб</t>
  </si>
  <si>
    <t>за 4-й год, тыс. руб</t>
  </si>
  <si>
    <t>за 6-й год, тыс. руб</t>
  </si>
  <si>
    <t>за 7-й год, тыс. руб</t>
  </si>
  <si>
    <t>продажа бычков и тёлочек</t>
  </si>
  <si>
    <t>Примечание:</t>
  </si>
  <si>
    <t>Затраты на ГСМ взяты из расчёта 2,5-3 моточаса в день, при расходе 6 литров дизтоплива за 1 моточас (цена 20 руб. за 1 литр дизтоплива)</t>
  </si>
  <si>
    <t>Газ</t>
  </si>
  <si>
    <t>Расход электроэнергии взят из расчёта 45359,14 кВт в год (цена 2,5 р. кВт)</t>
  </si>
  <si>
    <t>Расход газа взят из расчёта 5600 кубометров в год (цена 2,5 р. кубометр)</t>
  </si>
  <si>
    <t>Месяцы</t>
  </si>
  <si>
    <t>Доходы</t>
  </si>
  <si>
    <t>Инвестиционные затраты</t>
  </si>
  <si>
    <t>Затраты на производство:</t>
  </si>
  <si>
    <t>продажа молока</t>
  </si>
  <si>
    <t xml:space="preserve">продажа молока </t>
  </si>
  <si>
    <t>продажа говядины</t>
  </si>
  <si>
    <t>мес</t>
  </si>
  <si>
    <t>Процент по кредиту</t>
  </si>
  <si>
    <t>Выручка, тыс.руб</t>
  </si>
  <si>
    <t>Продажи молока, тыс. руб</t>
  </si>
  <si>
    <t>Затраты, тыс. руб</t>
  </si>
  <si>
    <t>Произведено молока, л</t>
  </si>
  <si>
    <t>Затраты на 1 л молока,руб</t>
  </si>
  <si>
    <t>Прочие продажи, тыс. руб</t>
  </si>
  <si>
    <t xml:space="preserve"> </t>
  </si>
  <si>
    <t>ЕСХН</t>
  </si>
  <si>
    <t>Чистая прибыль</t>
  </si>
  <si>
    <t>Выплаченные проценты</t>
  </si>
  <si>
    <t>ежемесячный платёж общий</t>
  </si>
  <si>
    <t>ежемесячный платёж процентов</t>
  </si>
  <si>
    <t>ежемесячный платёж тела</t>
  </si>
  <si>
    <t>Итого чистая прибыль за семь лет</t>
  </si>
  <si>
    <t>Итого проценты выплаченные за семь лет</t>
  </si>
  <si>
    <t>Проценты к выплате</t>
  </si>
  <si>
    <t>средняя цена, руб./гол.</t>
  </si>
  <si>
    <t>цена, руб.</t>
  </si>
  <si>
    <t>выручка, тыс. руб.</t>
  </si>
  <si>
    <t xml:space="preserve">Итого общая выручка от реализации, тыс. руб. </t>
  </si>
  <si>
    <t>Доходы, тыс. руб.:</t>
  </si>
  <si>
    <t>за 5-й год, тыс. руб</t>
  </si>
  <si>
    <t>итого выручка</t>
  </si>
  <si>
    <t>Затраты на производство</t>
  </si>
  <si>
    <t>Приложение № 2</t>
  </si>
  <si>
    <t>Технология кукуруза на силос, га ==========================================</t>
  </si>
  <si>
    <t>Произсодство, тонн</t>
  </si>
  <si>
    <t>Себестоимость, руб./тонна</t>
  </si>
  <si>
    <t>№ п/п</t>
  </si>
  <si>
    <t>Дата</t>
  </si>
  <si>
    <t>Операция</t>
  </si>
  <si>
    <t>Технка</t>
  </si>
  <si>
    <t>Материалл</t>
  </si>
  <si>
    <t>Количество на га, тонну</t>
  </si>
  <si>
    <t>Количество, всего</t>
  </si>
  <si>
    <t>Цена за ед., руб.</t>
  </si>
  <si>
    <t>РУБ.</t>
  </si>
  <si>
    <t>16-20.04.2008 г.</t>
  </si>
  <si>
    <t>Дискование (двукратное)</t>
  </si>
  <si>
    <t xml:space="preserve">Дискатор </t>
  </si>
  <si>
    <t>ДТ</t>
  </si>
  <si>
    <t>20-25.04.2008 г.</t>
  </si>
  <si>
    <t>Жидкий АММИАК</t>
  </si>
  <si>
    <t>аммиаковноситель</t>
  </si>
  <si>
    <t>NH3 200 кг/га</t>
  </si>
  <si>
    <t>04.05.2008 г.</t>
  </si>
  <si>
    <t>Гербицид</t>
  </si>
  <si>
    <t>апрыскиватель</t>
  </si>
  <si>
    <t>Харнос</t>
  </si>
  <si>
    <t>Дискование + борона</t>
  </si>
  <si>
    <t>Дискатор + борона (3 бороны)</t>
  </si>
  <si>
    <t>10.05.2008 г.</t>
  </si>
  <si>
    <t>Сев</t>
  </si>
  <si>
    <t>Кукурузная пропашная сеялка</t>
  </si>
  <si>
    <t>Семена</t>
  </si>
  <si>
    <t>сразу после</t>
  </si>
  <si>
    <t>Катки</t>
  </si>
  <si>
    <t>катки</t>
  </si>
  <si>
    <t>25-30.05.2008 г.</t>
  </si>
  <si>
    <t>ДиаленСупер</t>
  </si>
  <si>
    <t>20-30.08.2008 г.</t>
  </si>
  <si>
    <t>Уборка</t>
  </si>
  <si>
    <t>Кормоуборочный комбаин</t>
  </si>
  <si>
    <t>оплата</t>
  </si>
  <si>
    <t>Силосование</t>
  </si>
  <si>
    <t>Комбаин, трамбов. машина</t>
  </si>
  <si>
    <t>Закваска "Элитная"</t>
  </si>
  <si>
    <t>ИТОГО:</t>
  </si>
  <si>
    <t>Технология зерно-бобовая смесь на сенаж, га ==========================================</t>
  </si>
  <si>
    <t>Дискатор</t>
  </si>
  <si>
    <t>01-09.05.2008 г.</t>
  </si>
  <si>
    <t xml:space="preserve">Дискование </t>
  </si>
  <si>
    <t>05-06.05.2008 г.</t>
  </si>
  <si>
    <t>Зерновая сеялка (сошниковые диски)</t>
  </si>
  <si>
    <t>Дт</t>
  </si>
  <si>
    <t>01.07.2008 г.</t>
  </si>
  <si>
    <t xml:space="preserve">Косилка </t>
  </si>
  <si>
    <t xml:space="preserve">Пресс-подборщик </t>
  </si>
  <si>
    <t>30.08.2008 г.</t>
  </si>
  <si>
    <t>Пресс-подборщик</t>
  </si>
  <si>
    <t>Технология сено, га ==========================================</t>
  </si>
  <si>
    <t>Количество на га</t>
  </si>
  <si>
    <t>ИТОГО по КРС:</t>
  </si>
  <si>
    <t>Таблица № 3, приложения 1                    Стоимость кормов, воды, подстилки.</t>
  </si>
  <si>
    <t>Таблица № 2, приложения 1                          Производство продукции животноводства</t>
  </si>
  <si>
    <t>Таблица № 4, приложения 1                 Окупаемость фермы</t>
  </si>
  <si>
    <t>Таблица 1, приложения 1                  Потребность в кормах, воде, подстилке.</t>
  </si>
  <si>
    <t>Ежемесячные</t>
  </si>
  <si>
    <t>Проценты</t>
  </si>
  <si>
    <t>нарастающим</t>
  </si>
  <si>
    <t>итогом</t>
  </si>
  <si>
    <t>за первый</t>
  </si>
  <si>
    <t>год работы</t>
  </si>
  <si>
    <t>Итого</t>
  </si>
  <si>
    <t>Общая величина кредитных ресурсов</t>
  </si>
  <si>
    <t>Стоимость (проценты) кредитных ресурсов за первый год работы</t>
  </si>
  <si>
    <t xml:space="preserve">Ежемесячный </t>
  </si>
  <si>
    <t>общий платеж</t>
  </si>
  <si>
    <t>Ежемесячная</t>
  </si>
  <si>
    <t>выплата</t>
  </si>
  <si>
    <t>тела</t>
  </si>
  <si>
    <t>кредита</t>
  </si>
  <si>
    <t>платеж</t>
  </si>
  <si>
    <t>процентов</t>
  </si>
  <si>
    <t>Размер тела</t>
  </si>
  <si>
    <t>Ежемесячное</t>
  </si>
  <si>
    <t>начисление</t>
  </si>
  <si>
    <t>на тело кредита</t>
  </si>
  <si>
    <t>Расчет ежемесячных выплат по кредиту, начиная со второго года работы фермы</t>
  </si>
  <si>
    <t>Срок выплаты кредита</t>
  </si>
  <si>
    <t>Проценты нарастающим итогом помесячно на соответствующую величину ежемесячных потребностей в кредите</t>
  </si>
  <si>
    <t>потребности</t>
  </si>
  <si>
    <t>в кредите</t>
  </si>
  <si>
    <t>ИТОГО</t>
  </si>
  <si>
    <t xml:space="preserve">Поскольку погашение кредита и процентов происходит ежемесячно равными долями </t>
  </si>
  <si>
    <t>в течение 72 месяцев, рассчитаем величину ежемесячных платежей.</t>
  </si>
  <si>
    <t>Для этого итоговые суммы следует разделить на 72</t>
  </si>
  <si>
    <t>Получаем величину ежемесячных платежей:</t>
  </si>
  <si>
    <t>Примечание. В величину ежемесячного платежа процентов, помимо процентов начисленных на тело</t>
  </si>
  <si>
    <t>Расчет стоимости кредитных ресурсов за первый год работы фермы</t>
  </si>
  <si>
    <t>Примечание. Затраты на производство со второго по седьмой месяц первого года функционирования фермы считаются инвестиционныыми затратами!</t>
  </si>
  <si>
    <t>Итого за 1-й год, тыс. руб.</t>
  </si>
  <si>
    <t>Итого за 7-й год, тыс. руб.</t>
  </si>
  <si>
    <t>Итого за 6-й год, тыс. руб.</t>
  </si>
  <si>
    <t>Итого за 2-й год, тыс. руб.</t>
  </si>
  <si>
    <t>Итого за 3-й год, тыс. руб.</t>
  </si>
  <si>
    <t>Итого за 4-й год, тыс. руб.</t>
  </si>
  <si>
    <t>Итого за 5-й год, тыс. руб.</t>
  </si>
  <si>
    <t>Таблица 1 приложения 3</t>
  </si>
  <si>
    <t>тыс. руб.</t>
  </si>
  <si>
    <t>Таблица 2 приложения 3</t>
  </si>
  <si>
    <t xml:space="preserve">кредита (начиная со второго года) входит величина выплат по процентам за первый год пользования </t>
  </si>
  <si>
    <t>кредитом, поделенная на 72</t>
  </si>
  <si>
    <t>В последующие годы эксплуатации фермы производство продукции примерно соответствует пятому году.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</si>
</sst>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#,##0.00_ ;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0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2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6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0" fontId="0" fillId="1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17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15" xfId="0" applyBorder="1" applyAlignment="1">
      <alignment/>
    </xf>
    <xf numFmtId="0" fontId="0" fillId="17" borderId="12" xfId="0" applyFill="1" applyBorder="1" applyAlignment="1">
      <alignment/>
    </xf>
    <xf numFmtId="2" fontId="0" fillId="17" borderId="29" xfId="0" applyNumberFormat="1" applyFill="1" applyBorder="1" applyAlignment="1">
      <alignment/>
    </xf>
    <xf numFmtId="0" fontId="0" fillId="17" borderId="13" xfId="0" applyFill="1" applyBorder="1" applyAlignment="1">
      <alignment/>
    </xf>
    <xf numFmtId="0" fontId="0" fillId="17" borderId="24" xfId="0" applyFill="1" applyBorder="1" applyAlignment="1">
      <alignment/>
    </xf>
    <xf numFmtId="2" fontId="0" fillId="17" borderId="27" xfId="0" applyNumberFormat="1" applyFill="1" applyBorder="1" applyAlignment="1">
      <alignment/>
    </xf>
    <xf numFmtId="0" fontId="0" fillId="17" borderId="15" xfId="0" applyFill="1" applyBorder="1" applyAlignment="1">
      <alignment/>
    </xf>
    <xf numFmtId="0" fontId="0" fillId="24" borderId="12" xfId="0" applyFill="1" applyBorder="1" applyAlignment="1">
      <alignment/>
    </xf>
    <xf numFmtId="2" fontId="0" fillId="24" borderId="29" xfId="0" applyNumberForma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24" xfId="0" applyFill="1" applyBorder="1" applyAlignment="1">
      <alignment/>
    </xf>
    <xf numFmtId="2" fontId="0" fillId="24" borderId="27" xfId="0" applyNumberFormat="1" applyFill="1" applyBorder="1" applyAlignment="1">
      <alignment/>
    </xf>
    <xf numFmtId="0" fontId="0" fillId="24" borderId="15" xfId="0" applyFill="1" applyBorder="1" applyAlignment="1">
      <alignment/>
    </xf>
    <xf numFmtId="0" fontId="0" fillId="25" borderId="12" xfId="0" applyFill="1" applyBorder="1" applyAlignment="1">
      <alignment/>
    </xf>
    <xf numFmtId="2" fontId="0" fillId="25" borderId="29" xfId="0" applyNumberFormat="1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24" xfId="0" applyFill="1" applyBorder="1" applyAlignment="1">
      <alignment/>
    </xf>
    <xf numFmtId="2" fontId="0" fillId="25" borderId="27" xfId="0" applyNumberFormat="1" applyFill="1" applyBorder="1" applyAlignment="1">
      <alignment/>
    </xf>
    <xf numFmtId="0" fontId="0" fillId="25" borderId="15" xfId="0" applyFill="1" applyBorder="1" applyAlignment="1">
      <alignment/>
    </xf>
    <xf numFmtId="0" fontId="1" fillId="26" borderId="10" xfId="0" applyFont="1" applyFill="1" applyBorder="1" applyAlignment="1">
      <alignment/>
    </xf>
    <xf numFmtId="0" fontId="0" fillId="26" borderId="12" xfId="0" applyFill="1" applyBorder="1" applyAlignment="1">
      <alignment/>
    </xf>
    <xf numFmtId="2" fontId="0" fillId="26" borderId="29" xfId="0" applyNumberFormat="1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24" xfId="0" applyFill="1" applyBorder="1" applyAlignment="1">
      <alignment/>
    </xf>
    <xf numFmtId="2" fontId="0" fillId="26" borderId="27" xfId="0" applyNumberFormat="1" applyFill="1" applyBorder="1" applyAlignment="1">
      <alignment/>
    </xf>
    <xf numFmtId="0" fontId="0" fillId="26" borderId="15" xfId="0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3" borderId="12" xfId="0" applyFill="1" applyBorder="1" applyAlignment="1">
      <alignment/>
    </xf>
    <xf numFmtId="2" fontId="0" fillId="3" borderId="29" xfId="0" applyNumberForma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24" xfId="0" applyFill="1" applyBorder="1" applyAlignment="1">
      <alignment/>
    </xf>
    <xf numFmtId="2" fontId="0" fillId="3" borderId="30" xfId="0" applyNumberFormat="1" applyFill="1" applyBorder="1" applyAlignment="1">
      <alignment/>
    </xf>
    <xf numFmtId="0" fontId="0" fillId="3" borderId="22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31" xfId="0" applyBorder="1" applyAlignment="1">
      <alignment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17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25" borderId="10" xfId="0" applyNumberFormat="1" applyFill="1" applyBorder="1" applyAlignment="1">
      <alignment/>
    </xf>
    <xf numFmtId="2" fontId="0" fillId="26" borderId="10" xfId="0" applyNumberFormat="1" applyFill="1" applyBorder="1" applyAlignment="1">
      <alignment/>
    </xf>
    <xf numFmtId="2" fontId="0" fillId="3" borderId="10" xfId="0" applyNumberFormat="1" applyFill="1" applyBorder="1" applyAlignment="1">
      <alignment/>
    </xf>
    <xf numFmtId="2" fontId="0" fillId="17" borderId="25" xfId="0" applyNumberFormat="1" applyFill="1" applyBorder="1" applyAlignment="1">
      <alignment/>
    </xf>
    <xf numFmtId="2" fontId="0" fillId="24" borderId="25" xfId="0" applyNumberFormat="1" applyFill="1" applyBorder="1" applyAlignment="1">
      <alignment/>
    </xf>
    <xf numFmtId="2" fontId="0" fillId="25" borderId="25" xfId="0" applyNumberFormat="1" applyFill="1" applyBorder="1" applyAlignment="1">
      <alignment/>
    </xf>
    <xf numFmtId="2" fontId="0" fillId="26" borderId="25" xfId="0" applyNumberFormat="1" applyFill="1" applyBorder="1" applyAlignment="1">
      <alignment/>
    </xf>
    <xf numFmtId="2" fontId="0" fillId="3" borderId="25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11" xfId="0" applyFill="1" applyBorder="1" applyAlignment="1">
      <alignment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26" borderId="11" xfId="0" applyFill="1" applyBorder="1" applyAlignment="1">
      <alignment/>
    </xf>
    <xf numFmtId="0" fontId="0" fillId="3" borderId="11" xfId="0" applyFill="1" applyBorder="1" applyAlignment="1">
      <alignment/>
    </xf>
    <xf numFmtId="2" fontId="0" fillId="0" borderId="32" xfId="0" applyNumberFormat="1" applyFill="1" applyBorder="1" applyAlignment="1">
      <alignment/>
    </xf>
    <xf numFmtId="44" fontId="1" fillId="0" borderId="0" xfId="43" applyNumberFormat="1" applyFont="1" applyAlignment="1">
      <alignment/>
    </xf>
    <xf numFmtId="179" fontId="1" fillId="0" borderId="10" xfId="60" applyFont="1" applyBorder="1" applyAlignment="1">
      <alignment/>
    </xf>
    <xf numFmtId="179" fontId="0" fillId="0" borderId="10" xfId="60" applyFont="1" applyBorder="1" applyAlignment="1">
      <alignment/>
    </xf>
    <xf numFmtId="179" fontId="0" fillId="0" borderId="10" xfId="60" applyFont="1" applyFill="1" applyBorder="1" applyAlignment="1">
      <alignment/>
    </xf>
    <xf numFmtId="179" fontId="0" fillId="10" borderId="10" xfId="60" applyFont="1" applyFill="1" applyBorder="1" applyAlignment="1">
      <alignment/>
    </xf>
    <xf numFmtId="179" fontId="0" fillId="0" borderId="0" xfId="60" applyFont="1" applyAlignment="1">
      <alignment/>
    </xf>
    <xf numFmtId="179" fontId="0" fillId="0" borderId="0" xfId="60" applyFont="1" applyFill="1" applyAlignment="1">
      <alignment/>
    </xf>
    <xf numFmtId="0" fontId="0" fillId="0" borderId="10" xfId="60" applyNumberFormat="1" applyFont="1" applyBorder="1" applyAlignment="1">
      <alignment horizontal="center"/>
    </xf>
    <xf numFmtId="0" fontId="0" fillId="0" borderId="10" xfId="6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179" fontId="0" fillId="0" borderId="33" xfId="60" applyFont="1" applyBorder="1" applyAlignment="1">
      <alignment/>
    </xf>
    <xf numFmtId="179" fontId="0" fillId="0" borderId="33" xfId="60" applyFont="1" applyFill="1" applyBorder="1" applyAlignment="1">
      <alignment/>
    </xf>
    <xf numFmtId="179" fontId="0" fillId="10" borderId="33" xfId="60" applyFont="1" applyFill="1" applyBorder="1" applyAlignment="1">
      <alignment/>
    </xf>
    <xf numFmtId="179" fontId="0" fillId="0" borderId="11" xfId="60" applyFont="1" applyBorder="1" applyAlignment="1">
      <alignment/>
    </xf>
    <xf numFmtId="179" fontId="0" fillId="0" borderId="11" xfId="60" applyFont="1" applyFill="1" applyBorder="1" applyAlignment="1">
      <alignment/>
    </xf>
    <xf numFmtId="179" fontId="0" fillId="10" borderId="11" xfId="60" applyFont="1" applyFill="1" applyBorder="1" applyAlignment="1">
      <alignment/>
    </xf>
    <xf numFmtId="0" fontId="1" fillId="0" borderId="34" xfId="0" applyFont="1" applyBorder="1" applyAlignment="1">
      <alignment/>
    </xf>
    <xf numFmtId="179" fontId="1" fillId="0" borderId="35" xfId="60" applyFont="1" applyBorder="1" applyAlignment="1">
      <alignment/>
    </xf>
    <xf numFmtId="0" fontId="1" fillId="0" borderId="33" xfId="0" applyFont="1" applyBorder="1" applyAlignment="1">
      <alignment vertical="center"/>
    </xf>
    <xf numFmtId="0" fontId="0" fillId="0" borderId="33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10" borderId="33" xfId="0" applyFill="1" applyBorder="1" applyAlignment="1">
      <alignment horizontal="center"/>
    </xf>
    <xf numFmtId="179" fontId="0" fillId="0" borderId="35" xfId="60" applyFont="1" applyBorder="1" applyAlignment="1">
      <alignment/>
    </xf>
    <xf numFmtId="179" fontId="0" fillId="0" borderId="35" xfId="60" applyFont="1" applyFill="1" applyBorder="1" applyAlignment="1">
      <alignment/>
    </xf>
    <xf numFmtId="179" fontId="0" fillId="10" borderId="35" xfId="60" applyFont="1" applyFill="1" applyBorder="1" applyAlignment="1">
      <alignment/>
    </xf>
    <xf numFmtId="0" fontId="6" fillId="0" borderId="33" xfId="0" applyFont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43" applyNumberFormat="1" applyFont="1" applyAlignment="1">
      <alignment/>
    </xf>
    <xf numFmtId="0" fontId="1" fillId="0" borderId="0" xfId="0" applyNumberFormat="1" applyFont="1" applyAlignment="1">
      <alignment horizontal="center"/>
    </xf>
    <xf numFmtId="180" fontId="1" fillId="0" borderId="0" xfId="43" applyNumberFormat="1" applyFont="1" applyAlignment="1">
      <alignment horizontal="center"/>
    </xf>
    <xf numFmtId="18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0" fillId="0" borderId="0" xfId="60" applyFont="1" applyBorder="1" applyAlignment="1">
      <alignment/>
    </xf>
    <xf numFmtId="181" fontId="6" fillId="0" borderId="36" xfId="43" applyNumberFormat="1" applyFont="1" applyBorder="1" applyAlignment="1">
      <alignment/>
    </xf>
    <xf numFmtId="181" fontId="1" fillId="0" borderId="11" xfId="43" applyNumberFormat="1" applyFont="1" applyBorder="1" applyAlignment="1">
      <alignment/>
    </xf>
    <xf numFmtId="181" fontId="1" fillId="0" borderId="10" xfId="43" applyNumberFormat="1" applyFont="1" applyBorder="1" applyAlignment="1">
      <alignment/>
    </xf>
    <xf numFmtId="181" fontId="1" fillId="0" borderId="33" xfId="43" applyNumberFormat="1" applyFont="1" applyBorder="1" applyAlignment="1">
      <alignment/>
    </xf>
    <xf numFmtId="181" fontId="1" fillId="0" borderId="0" xfId="43" applyNumberFormat="1" applyFont="1" applyAlignment="1">
      <alignment/>
    </xf>
    <xf numFmtId="181" fontId="6" fillId="0" borderId="10" xfId="43" applyNumberFormat="1" applyFont="1" applyBorder="1" applyAlignment="1">
      <alignment/>
    </xf>
    <xf numFmtId="181" fontId="1" fillId="0" borderId="0" xfId="43" applyNumberFormat="1" applyFont="1" applyBorder="1" applyAlignment="1">
      <alignment/>
    </xf>
    <xf numFmtId="0" fontId="1" fillId="17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181" fontId="6" fillId="0" borderId="11" xfId="43" applyNumberFormat="1" applyFont="1" applyBorder="1" applyAlignment="1">
      <alignment/>
    </xf>
    <xf numFmtId="0" fontId="1" fillId="0" borderId="33" xfId="0" applyFont="1" applyBorder="1" applyAlignment="1">
      <alignment/>
    </xf>
    <xf numFmtId="181" fontId="8" fillId="0" borderId="36" xfId="43" applyNumberFormat="1" applyFont="1" applyBorder="1" applyAlignment="1">
      <alignment/>
    </xf>
    <xf numFmtId="0" fontId="10" fillId="0" borderId="34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37" xfId="0" applyNumberFormat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/>
    </xf>
    <xf numFmtId="2" fontId="0" fillId="0" borderId="46" xfId="0" applyNumberFormat="1" applyBorder="1" applyAlignment="1">
      <alignment/>
    </xf>
    <xf numFmtId="186" fontId="0" fillId="0" borderId="47" xfId="0" applyNumberForma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2" fontId="0" fillId="0" borderId="50" xfId="0" applyNumberFormat="1" applyBorder="1" applyAlignment="1">
      <alignment/>
    </xf>
    <xf numFmtId="186" fontId="0" fillId="0" borderId="51" xfId="0" applyNumberFormat="1" applyBorder="1" applyAlignment="1">
      <alignment/>
    </xf>
    <xf numFmtId="0" fontId="0" fillId="0" borderId="37" xfId="0" applyFont="1" applyBorder="1" applyAlignment="1">
      <alignment/>
    </xf>
    <xf numFmtId="2" fontId="0" fillId="0" borderId="37" xfId="0" applyNumberFormat="1" applyBorder="1" applyAlignment="1">
      <alignment/>
    </xf>
    <xf numFmtId="186" fontId="0" fillId="0" borderId="52" xfId="0" applyNumberFormat="1" applyBorder="1" applyAlignment="1">
      <alignment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6" xfId="0" applyBorder="1" applyAlignment="1">
      <alignment/>
    </xf>
    <xf numFmtId="186" fontId="0" fillId="0" borderId="46" xfId="0" applyNumberFormat="1" applyBorder="1" applyAlignment="1">
      <alignment/>
    </xf>
    <xf numFmtId="1" fontId="0" fillId="0" borderId="47" xfId="0" applyNumberFormat="1" applyBorder="1" applyAlignment="1">
      <alignment/>
    </xf>
    <xf numFmtId="0" fontId="0" fillId="0" borderId="38" xfId="0" applyBorder="1" applyAlignment="1">
      <alignment horizontal="center" vertical="center"/>
    </xf>
    <xf numFmtId="0" fontId="0" fillId="27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/>
    </xf>
    <xf numFmtId="187" fontId="0" fillId="0" borderId="41" xfId="0" applyNumberFormat="1" applyBorder="1" applyAlignment="1">
      <alignment/>
    </xf>
    <xf numFmtId="186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5" xfId="0" applyFont="1" applyBorder="1" applyAlignment="1">
      <alignment/>
    </xf>
    <xf numFmtId="0" fontId="0" fillId="27" borderId="39" xfId="0" applyFont="1" applyFill="1" applyBorder="1" applyAlignment="1">
      <alignment horizontal="center" vertical="center" wrapText="1"/>
    </xf>
    <xf numFmtId="0" fontId="0" fillId="27" borderId="44" xfId="0" applyFont="1" applyFill="1" applyBorder="1" applyAlignment="1">
      <alignment/>
    </xf>
    <xf numFmtId="2" fontId="0" fillId="0" borderId="46" xfId="0" applyNumberFormat="1" applyBorder="1" applyAlignment="1">
      <alignment/>
    </xf>
    <xf numFmtId="0" fontId="0" fillId="0" borderId="48" xfId="0" applyFont="1" applyBorder="1" applyAlignment="1">
      <alignment/>
    </xf>
    <xf numFmtId="2" fontId="0" fillId="0" borderId="50" xfId="0" applyNumberFormat="1" applyBorder="1" applyAlignment="1">
      <alignment/>
    </xf>
    <xf numFmtId="0" fontId="0" fillId="0" borderId="55" xfId="0" applyBorder="1" applyAlignment="1">
      <alignment horizontal="center" vertical="center"/>
    </xf>
    <xf numFmtId="0" fontId="0" fillId="27" borderId="56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/>
    </xf>
    <xf numFmtId="2" fontId="0" fillId="0" borderId="57" xfId="0" applyNumberFormat="1" applyBorder="1" applyAlignment="1">
      <alignment/>
    </xf>
    <xf numFmtId="2" fontId="0" fillId="0" borderId="57" xfId="0" applyNumberFormat="1" applyBorder="1" applyAlignment="1">
      <alignment/>
    </xf>
    <xf numFmtId="186" fontId="0" fillId="0" borderId="58" xfId="0" applyNumberFormat="1" applyBorder="1" applyAlignment="1">
      <alignment/>
    </xf>
    <xf numFmtId="186" fontId="0" fillId="0" borderId="50" xfId="0" applyNumberFormat="1" applyBorder="1" applyAlignment="1">
      <alignment/>
    </xf>
    <xf numFmtId="0" fontId="0" fillId="27" borderId="44" xfId="0" applyFont="1" applyFill="1" applyBorder="1" applyAlignment="1">
      <alignment/>
    </xf>
    <xf numFmtId="186" fontId="0" fillId="0" borderId="46" xfId="0" applyNumberFormat="1" applyBorder="1" applyAlignment="1">
      <alignment/>
    </xf>
    <xf numFmtId="0" fontId="0" fillId="0" borderId="59" xfId="0" applyBorder="1" applyAlignment="1">
      <alignment horizontal="center" vertical="center"/>
    </xf>
    <xf numFmtId="2" fontId="0" fillId="0" borderId="48" xfId="0" applyNumberFormat="1" applyBorder="1" applyAlignment="1">
      <alignment/>
    </xf>
    <xf numFmtId="186" fontId="0" fillId="0" borderId="48" xfId="0" applyNumberFormat="1" applyBorder="1" applyAlignment="1">
      <alignment/>
    </xf>
    <xf numFmtId="186" fontId="0" fillId="0" borderId="49" xfId="0" applyNumberFormat="1" applyBorder="1" applyAlignment="1">
      <alignment/>
    </xf>
    <xf numFmtId="0" fontId="0" fillId="0" borderId="54" xfId="0" applyBorder="1" applyAlignment="1">
      <alignment horizontal="center" vertical="center"/>
    </xf>
    <xf numFmtId="0" fontId="0" fillId="27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187" fontId="0" fillId="0" borderId="46" xfId="0" applyNumberFormat="1" applyBorder="1" applyAlignment="1">
      <alignment/>
    </xf>
    <xf numFmtId="0" fontId="0" fillId="0" borderId="60" xfId="0" applyFont="1" applyBorder="1" applyAlignment="1">
      <alignment horizontal="center" vertical="center"/>
    </xf>
    <xf numFmtId="0" fontId="0" fillId="27" borderId="61" xfId="0" applyFill="1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86" fontId="0" fillId="0" borderId="64" xfId="0" applyNumberFormat="1" applyBorder="1" applyAlignment="1">
      <alignment/>
    </xf>
    <xf numFmtId="0" fontId="0" fillId="0" borderId="45" xfId="0" applyBorder="1" applyAlignment="1">
      <alignment/>
    </xf>
    <xf numFmtId="0" fontId="0" fillId="27" borderId="44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65" xfId="0" applyBorder="1" applyAlignment="1">
      <alignment/>
    </xf>
    <xf numFmtId="186" fontId="0" fillId="28" borderId="66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179" fontId="1" fillId="0" borderId="10" xfId="6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67" xfId="0" applyFont="1" applyBorder="1" applyAlignment="1">
      <alignment horizontal="left"/>
    </xf>
    <xf numFmtId="0" fontId="1" fillId="0" borderId="67" xfId="0" applyFont="1" applyBorder="1" applyAlignment="1">
      <alignment horizontal="left" vertical="center"/>
    </xf>
    <xf numFmtId="0" fontId="0" fillId="29" borderId="0" xfId="0" applyFill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79" fontId="0" fillId="0" borderId="0" xfId="60" applyFont="1" applyFill="1" applyBorder="1" applyAlignment="1">
      <alignment/>
    </xf>
    <xf numFmtId="181" fontId="8" fillId="0" borderId="0" xfId="43" applyNumberFormat="1" applyFont="1" applyBorder="1" applyAlignment="1">
      <alignment/>
    </xf>
    <xf numFmtId="179" fontId="0" fillId="29" borderId="0" xfId="60" applyFont="1" applyFill="1" applyBorder="1" applyAlignment="1">
      <alignment/>
    </xf>
    <xf numFmtId="180" fontId="0" fillId="0" borderId="0" xfId="43" applyNumberFormat="1" applyFont="1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43" applyNumberFormat="1" applyFont="1" applyAlignment="1">
      <alignment/>
    </xf>
    <xf numFmtId="180" fontId="0" fillId="0" borderId="33" xfId="43" applyNumberFormat="1" applyFont="1" applyBorder="1" applyAlignment="1">
      <alignment/>
    </xf>
    <xf numFmtId="180" fontId="0" fillId="0" borderId="33" xfId="43" applyNumberFormat="1" applyFont="1" applyBorder="1" applyAlignment="1">
      <alignment horizontal="center"/>
    </xf>
    <xf numFmtId="180" fontId="0" fillId="0" borderId="68" xfId="43" applyNumberFormat="1" applyFont="1" applyBorder="1" applyAlignment="1">
      <alignment/>
    </xf>
    <xf numFmtId="180" fontId="0" fillId="0" borderId="68" xfId="43" applyNumberFormat="1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NumberFormat="1" applyFont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180" fontId="0" fillId="0" borderId="11" xfId="43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180" fontId="0" fillId="0" borderId="10" xfId="43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68" xfId="43" applyNumberFormat="1" applyFont="1" applyBorder="1" applyAlignment="1">
      <alignment horizontal="center"/>
    </xf>
    <xf numFmtId="0" fontId="0" fillId="0" borderId="0" xfId="43" applyNumberFormat="1" applyFont="1" applyAlignment="1">
      <alignment horizontal="center"/>
    </xf>
    <xf numFmtId="0" fontId="0" fillId="0" borderId="0" xfId="43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43" applyNumberFormat="1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0" fillId="0" borderId="11" xfId="43" applyNumberFormat="1" applyFont="1" applyBorder="1" applyAlignment="1">
      <alignment/>
    </xf>
    <xf numFmtId="0" fontId="0" fillId="0" borderId="69" xfId="0" applyNumberFormat="1" applyFont="1" applyBorder="1" applyAlignment="1">
      <alignment horizontal="center"/>
    </xf>
    <xf numFmtId="180" fontId="0" fillId="0" borderId="70" xfId="43" applyNumberFormat="1" applyFont="1" applyBorder="1" applyAlignment="1">
      <alignment horizontal="center"/>
    </xf>
    <xf numFmtId="180" fontId="0" fillId="0" borderId="71" xfId="43" applyNumberFormat="1" applyFont="1" applyBorder="1" applyAlignment="1">
      <alignment/>
    </xf>
    <xf numFmtId="0" fontId="0" fillId="0" borderId="32" xfId="0" applyNumberFormat="1" applyFont="1" applyBorder="1" applyAlignment="1">
      <alignment horizontal="center"/>
    </xf>
    <xf numFmtId="180" fontId="0" fillId="0" borderId="72" xfId="43" applyNumberFormat="1" applyFont="1" applyBorder="1" applyAlignment="1">
      <alignment/>
    </xf>
    <xf numFmtId="180" fontId="0" fillId="0" borderId="70" xfId="43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180" fontId="0" fillId="0" borderId="31" xfId="43" applyNumberFormat="1" applyFont="1" applyBorder="1" applyAlignment="1">
      <alignment/>
    </xf>
    <xf numFmtId="180" fontId="0" fillId="0" borderId="26" xfId="43" applyNumberFormat="1" applyFont="1" applyBorder="1" applyAlignment="1">
      <alignment/>
    </xf>
    <xf numFmtId="0" fontId="1" fillId="30" borderId="0" xfId="0" applyNumberFormat="1" applyFont="1" applyFill="1" applyAlignment="1">
      <alignment horizontal="center"/>
    </xf>
    <xf numFmtId="180" fontId="1" fillId="30" borderId="0" xfId="43" applyNumberFormat="1" applyFont="1" applyFill="1" applyAlignment="1">
      <alignment/>
    </xf>
    <xf numFmtId="180" fontId="1" fillId="30" borderId="0" xfId="43" applyNumberFormat="1" applyFont="1" applyFill="1" applyAlignment="1">
      <alignment horizontal="center"/>
    </xf>
    <xf numFmtId="0" fontId="0" fillId="30" borderId="68" xfId="0" applyNumberFormat="1" applyFont="1" applyFill="1" applyBorder="1" applyAlignment="1">
      <alignment horizontal="center"/>
    </xf>
    <xf numFmtId="180" fontId="0" fillId="30" borderId="68" xfId="43" applyNumberFormat="1" applyFont="1" applyFill="1" applyBorder="1" applyAlignment="1">
      <alignment horizontal="center"/>
    </xf>
    <xf numFmtId="180" fontId="0" fillId="30" borderId="0" xfId="43" applyNumberFormat="1" applyFont="1" applyFill="1" applyAlignment="1">
      <alignment/>
    </xf>
    <xf numFmtId="0" fontId="0" fillId="30" borderId="68" xfId="43" applyNumberFormat="1" applyFont="1" applyFill="1" applyBorder="1" applyAlignment="1">
      <alignment horizontal="center"/>
    </xf>
    <xf numFmtId="0" fontId="0" fillId="30" borderId="0" xfId="43" applyNumberFormat="1" applyFont="1" applyFill="1" applyAlignment="1">
      <alignment horizontal="center"/>
    </xf>
    <xf numFmtId="180" fontId="0" fillId="30" borderId="0" xfId="43" applyNumberFormat="1" applyFont="1" applyFill="1" applyAlignment="1">
      <alignment horizontal="center"/>
    </xf>
    <xf numFmtId="0" fontId="0" fillId="30" borderId="11" xfId="0" applyNumberFormat="1" applyFont="1" applyFill="1" applyBorder="1" applyAlignment="1">
      <alignment horizontal="center"/>
    </xf>
    <xf numFmtId="180" fontId="0" fillId="30" borderId="11" xfId="43" applyNumberFormat="1" applyFont="1" applyFill="1" applyBorder="1" applyAlignment="1">
      <alignment/>
    </xf>
    <xf numFmtId="0" fontId="0" fillId="30" borderId="69" xfId="0" applyNumberFormat="1" applyFont="1" applyFill="1" applyBorder="1" applyAlignment="1">
      <alignment horizontal="center"/>
    </xf>
    <xf numFmtId="180" fontId="0" fillId="30" borderId="70" xfId="43" applyNumberFormat="1" applyFont="1" applyFill="1" applyBorder="1" applyAlignment="1">
      <alignment horizontal="center"/>
    </xf>
    <xf numFmtId="180" fontId="0" fillId="30" borderId="71" xfId="43" applyNumberFormat="1" applyFont="1" applyFill="1" applyBorder="1" applyAlignment="1">
      <alignment/>
    </xf>
    <xf numFmtId="180" fontId="0" fillId="30" borderId="33" xfId="43" applyNumberFormat="1" applyFont="1" applyFill="1" applyBorder="1" applyAlignment="1">
      <alignment/>
    </xf>
    <xf numFmtId="180" fontId="0" fillId="30" borderId="33" xfId="43" applyNumberFormat="1" applyFont="1" applyFill="1" applyBorder="1" applyAlignment="1">
      <alignment horizontal="center"/>
    </xf>
    <xf numFmtId="0" fontId="0" fillId="30" borderId="32" xfId="0" applyNumberFormat="1" applyFont="1" applyFill="1" applyBorder="1" applyAlignment="1">
      <alignment horizontal="center"/>
    </xf>
    <xf numFmtId="180" fontId="0" fillId="30" borderId="72" xfId="43" applyNumberFormat="1" applyFont="1" applyFill="1" applyBorder="1" applyAlignment="1">
      <alignment/>
    </xf>
    <xf numFmtId="180" fontId="0" fillId="30" borderId="68" xfId="43" applyNumberFormat="1" applyFont="1" applyFill="1" applyBorder="1" applyAlignment="1">
      <alignment/>
    </xf>
    <xf numFmtId="180" fontId="0" fillId="30" borderId="70" xfId="43" applyNumberFormat="1" applyFont="1" applyFill="1" applyBorder="1" applyAlignment="1">
      <alignment/>
    </xf>
    <xf numFmtId="0" fontId="0" fillId="30" borderId="24" xfId="0" applyNumberFormat="1" applyFont="1" applyFill="1" applyBorder="1" applyAlignment="1">
      <alignment horizontal="center"/>
    </xf>
    <xf numFmtId="180" fontId="0" fillId="30" borderId="31" xfId="43" applyNumberFormat="1" applyFont="1" applyFill="1" applyBorder="1" applyAlignment="1">
      <alignment/>
    </xf>
    <xf numFmtId="180" fontId="0" fillId="30" borderId="26" xfId="43" applyNumberFormat="1" applyFont="1" applyFill="1" applyBorder="1" applyAlignment="1">
      <alignment/>
    </xf>
    <xf numFmtId="180" fontId="0" fillId="30" borderId="11" xfId="43" applyNumberFormat="1" applyFont="1" applyFill="1" applyBorder="1" applyAlignment="1">
      <alignment horizontal="center"/>
    </xf>
    <xf numFmtId="0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1" fillId="30" borderId="0" xfId="0" applyNumberFormat="1" applyFont="1" applyFill="1" applyBorder="1" applyAlignment="1">
      <alignment horizontal="center"/>
    </xf>
    <xf numFmtId="180" fontId="0" fillId="30" borderId="12" xfId="43" applyNumberFormat="1" applyFont="1" applyFill="1" applyBorder="1" applyAlignment="1">
      <alignment/>
    </xf>
    <xf numFmtId="180" fontId="0" fillId="30" borderId="73" xfId="43" applyNumberFormat="1" applyFont="1" applyFill="1" applyBorder="1" applyAlignment="1">
      <alignment/>
    </xf>
    <xf numFmtId="4" fontId="0" fillId="30" borderId="73" xfId="43" applyNumberFormat="1" applyFont="1" applyFill="1" applyBorder="1" applyAlignment="1">
      <alignment/>
    </xf>
    <xf numFmtId="180" fontId="0" fillId="30" borderId="13" xfId="43" applyNumberFormat="1" applyFont="1" applyFill="1" applyBorder="1" applyAlignment="1">
      <alignment/>
    </xf>
    <xf numFmtId="180" fontId="1" fillId="30" borderId="0" xfId="43" applyNumberFormat="1" applyFont="1" applyFill="1" applyBorder="1" applyAlignment="1">
      <alignment/>
    </xf>
    <xf numFmtId="4" fontId="0" fillId="30" borderId="0" xfId="43" applyNumberFormat="1" applyFont="1" applyFill="1" applyAlignment="1">
      <alignment/>
    </xf>
    <xf numFmtId="0" fontId="1" fillId="30" borderId="0" xfId="0" applyFont="1" applyFill="1" applyAlignment="1">
      <alignment/>
    </xf>
    <xf numFmtId="0" fontId="0" fillId="30" borderId="68" xfId="0" applyFont="1" applyFill="1" applyBorder="1" applyAlignment="1">
      <alignment horizontal="center"/>
    </xf>
    <xf numFmtId="0" fontId="0" fillId="30" borderId="68" xfId="0" applyFont="1" applyFill="1" applyBorder="1" applyAlignment="1">
      <alignment/>
    </xf>
    <xf numFmtId="0" fontId="0" fillId="30" borderId="11" xfId="0" applyFont="1" applyFill="1" applyBorder="1" applyAlignment="1">
      <alignment horizontal="center"/>
    </xf>
    <xf numFmtId="0" fontId="0" fillId="30" borderId="10" xfId="0" applyNumberFormat="1" applyFont="1" applyFill="1" applyBorder="1" applyAlignment="1">
      <alignment horizontal="center"/>
    </xf>
    <xf numFmtId="180" fontId="0" fillId="30" borderId="10" xfId="43" applyNumberFormat="1" applyFont="1" applyFill="1" applyBorder="1" applyAlignment="1">
      <alignment/>
    </xf>
    <xf numFmtId="180" fontId="0" fillId="30" borderId="0" xfId="43" applyNumberFormat="1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NumberFormat="1" applyFont="1" applyFill="1" applyBorder="1" applyAlignment="1">
      <alignment/>
    </xf>
    <xf numFmtId="4" fontId="0" fillId="0" borderId="0" xfId="43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29" borderId="0" xfId="0" applyFill="1" applyAlignment="1">
      <alignment/>
    </xf>
    <xf numFmtId="0" fontId="0" fillId="24" borderId="73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1" fillId="19" borderId="11" xfId="0" applyFont="1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68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/>
    </xf>
    <xf numFmtId="0" fontId="0" fillId="25" borderId="73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0" fontId="0" fillId="26" borderId="73" xfId="0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7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6" borderId="33" xfId="0" applyFill="1" applyBorder="1" applyAlignment="1">
      <alignment horizontal="center" vertical="center"/>
    </xf>
    <xf numFmtId="0" fontId="0" fillId="26" borderId="68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6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19" borderId="33" xfId="0" applyFont="1" applyFill="1" applyBorder="1" applyAlignment="1">
      <alignment horizontal="center" vertical="center"/>
    </xf>
    <xf numFmtId="0" fontId="1" fillId="19" borderId="68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68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1" fillId="25" borderId="33" xfId="0" applyFont="1" applyFill="1" applyBorder="1" applyAlignment="1">
      <alignment horizontal="center" vertical="center"/>
    </xf>
    <xf numFmtId="0" fontId="1" fillId="25" borderId="68" xfId="0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center" vertical="center"/>
    </xf>
    <xf numFmtId="0" fontId="0" fillId="19" borderId="12" xfId="0" applyFill="1" applyBorder="1" applyAlignment="1">
      <alignment horizontal="center"/>
    </xf>
    <xf numFmtId="0" fontId="0" fillId="19" borderId="73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74" xfId="0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/>
    </xf>
    <xf numFmtId="0" fontId="0" fillId="17" borderId="73" xfId="0" applyFill="1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1" fillId="0" borderId="75" xfId="0" applyFont="1" applyBorder="1" applyAlignment="1">
      <alignment horizontal="left"/>
    </xf>
    <xf numFmtId="0" fontId="0" fillId="0" borderId="7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81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30" borderId="0" xfId="0" applyNumberFormat="1" applyFont="1" applyFill="1" applyAlignment="1">
      <alignment horizontal="center"/>
    </xf>
    <xf numFmtId="180" fontId="0" fillId="30" borderId="0" xfId="43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80" fontId="0" fillId="0" borderId="12" xfId="43" applyNumberFormat="1" applyFont="1" applyBorder="1" applyAlignment="1">
      <alignment horizontal="center"/>
    </xf>
    <xf numFmtId="180" fontId="0" fillId="0" borderId="73" xfId="43" applyNumberFormat="1" applyFont="1" applyBorder="1" applyAlignment="1">
      <alignment horizontal="center"/>
    </xf>
    <xf numFmtId="180" fontId="0" fillId="0" borderId="13" xfId="43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79" fontId="1" fillId="25" borderId="12" xfId="60" applyFont="1" applyFill="1" applyBorder="1" applyAlignment="1">
      <alignment horizontal="center"/>
    </xf>
    <xf numFmtId="179" fontId="1" fillId="25" borderId="73" xfId="60" applyFont="1" applyFill="1" applyBorder="1" applyAlignment="1">
      <alignment horizontal="center"/>
    </xf>
    <xf numFmtId="179" fontId="1" fillId="25" borderId="13" xfId="60" applyFont="1" applyFill="1" applyBorder="1" applyAlignment="1">
      <alignment horizontal="center"/>
    </xf>
    <xf numFmtId="44" fontId="1" fillId="0" borderId="33" xfId="43" applyNumberFormat="1" applyFont="1" applyBorder="1" applyAlignment="1">
      <alignment horizontal="center" vertical="center" wrapText="1"/>
    </xf>
    <xf numFmtId="44" fontId="1" fillId="0" borderId="68" xfId="43" applyNumberFormat="1" applyFont="1" applyBorder="1" applyAlignment="1">
      <alignment horizontal="center" vertical="center" wrapText="1"/>
    </xf>
    <xf numFmtId="179" fontId="1" fillId="25" borderId="10" xfId="6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27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28" borderId="43" xfId="0" applyFont="1" applyFill="1" applyBorder="1" applyAlignment="1">
      <alignment horizontal="center" vertical="center"/>
    </xf>
    <xf numFmtId="180" fontId="0" fillId="0" borderId="0" xfId="43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30" borderId="12" xfId="0" applyNumberFormat="1" applyFont="1" applyFill="1" applyBorder="1" applyAlignment="1">
      <alignment horizontal="center"/>
    </xf>
    <xf numFmtId="0" fontId="1" fillId="30" borderId="73" xfId="0" applyNumberFormat="1" applyFont="1" applyFill="1" applyBorder="1" applyAlignment="1">
      <alignment horizontal="center"/>
    </xf>
    <xf numFmtId="0" fontId="1" fillId="30" borderId="13" xfId="0" applyNumberFormat="1" applyFont="1" applyFill="1" applyBorder="1" applyAlignment="1">
      <alignment horizontal="center"/>
    </xf>
    <xf numFmtId="180" fontId="0" fillId="30" borderId="12" xfId="43" applyNumberFormat="1" applyFont="1" applyFill="1" applyBorder="1" applyAlignment="1">
      <alignment horizontal="center"/>
    </xf>
    <xf numFmtId="180" fontId="0" fillId="30" borderId="73" xfId="43" applyNumberFormat="1" applyFont="1" applyFill="1" applyBorder="1" applyAlignment="1">
      <alignment horizontal="center"/>
    </xf>
    <xf numFmtId="180" fontId="0" fillId="30" borderId="13" xfId="43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624"/>
  <sheetViews>
    <sheetView view="pageBreakPreview" zoomScaleSheetLayoutView="100" zoomScalePageLayoutView="0" workbookViewId="0" topLeftCell="A1">
      <pane xSplit="3" ySplit="4" topLeftCell="D24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263" sqref="L263"/>
    </sheetView>
  </sheetViews>
  <sheetFormatPr defaultColWidth="9.140625" defaultRowHeight="12.75"/>
  <cols>
    <col min="3" max="3" width="14.28125" style="0" customWidth="1"/>
    <col min="10" max="10" width="9.140625" style="92" customWidth="1"/>
    <col min="11" max="11" width="12.8515625" style="0" customWidth="1"/>
    <col min="12" max="12" width="10.8515625" style="0" customWidth="1"/>
    <col min="13" max="13" width="11.28125" style="0" customWidth="1"/>
    <col min="14" max="14" width="15.7109375" style="0" customWidth="1"/>
  </cols>
  <sheetData>
    <row r="1" spans="1:10" ht="12.75">
      <c r="A1" s="347" t="s">
        <v>249</v>
      </c>
      <c r="B1" s="347"/>
      <c r="C1" s="347"/>
      <c r="D1" s="347"/>
      <c r="E1" s="347"/>
      <c r="F1" s="347"/>
      <c r="G1" s="347"/>
      <c r="H1" s="347"/>
      <c r="J1" s="231"/>
    </row>
    <row r="2" spans="1:10" ht="12.75">
      <c r="A2" s="229"/>
      <c r="B2" s="229"/>
      <c r="C2" s="229"/>
      <c r="D2" s="229"/>
      <c r="E2" s="229"/>
      <c r="F2" s="229"/>
      <c r="G2" s="229"/>
      <c r="H2" s="229"/>
      <c r="J2" s="231"/>
    </row>
    <row r="3" spans="1:14" ht="12.75">
      <c r="A3" s="337" t="s">
        <v>0</v>
      </c>
      <c r="B3" s="337" t="s">
        <v>1</v>
      </c>
      <c r="C3" s="360" t="s">
        <v>2</v>
      </c>
      <c r="D3" s="360" t="s">
        <v>3</v>
      </c>
      <c r="E3" s="337" t="s">
        <v>4</v>
      </c>
      <c r="F3" s="337"/>
      <c r="G3" s="337"/>
      <c r="H3" s="337"/>
      <c r="I3" s="337"/>
      <c r="J3" s="337"/>
      <c r="K3" s="337"/>
      <c r="L3" s="360" t="s">
        <v>5</v>
      </c>
      <c r="M3" s="337" t="s">
        <v>6</v>
      </c>
      <c r="N3" s="337"/>
    </row>
    <row r="4" spans="1:14" ht="12.75">
      <c r="A4" s="337"/>
      <c r="B4" s="337"/>
      <c r="C4" s="360"/>
      <c r="D4" s="360"/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6" t="s">
        <v>12</v>
      </c>
      <c r="K4" s="2" t="s">
        <v>13</v>
      </c>
      <c r="L4" s="360"/>
      <c r="M4" s="3" t="s">
        <v>14</v>
      </c>
      <c r="N4" s="3" t="s">
        <v>15</v>
      </c>
    </row>
    <row r="5" spans="1:14" ht="12.75">
      <c r="A5" s="348">
        <v>1</v>
      </c>
      <c r="B5" s="13">
        <v>1</v>
      </c>
      <c r="C5" s="4" t="s">
        <v>16</v>
      </c>
      <c r="D5" s="4">
        <v>36</v>
      </c>
      <c r="E5" s="4">
        <f>255*D5</f>
        <v>9180</v>
      </c>
      <c r="F5" s="4">
        <f>210*D5</f>
        <v>7560</v>
      </c>
      <c r="G5" s="4">
        <f>60*D5</f>
        <v>2160</v>
      </c>
      <c r="H5" s="4">
        <v>0</v>
      </c>
      <c r="I5" s="4">
        <f>51*D5</f>
        <v>1836</v>
      </c>
      <c r="J5" s="6">
        <v>0</v>
      </c>
      <c r="K5" s="4">
        <v>0</v>
      </c>
      <c r="L5" s="4">
        <f>40*D5*30</f>
        <v>43200</v>
      </c>
      <c r="M5" s="4">
        <f>120*D5</f>
        <v>4320</v>
      </c>
      <c r="N5" s="4">
        <f>M5</f>
        <v>4320</v>
      </c>
    </row>
    <row r="6" spans="1:14" s="12" customFormat="1" ht="12.75">
      <c r="A6" s="349"/>
      <c r="B6" s="14">
        <v>2</v>
      </c>
      <c r="C6" s="4" t="s">
        <v>17</v>
      </c>
      <c r="D6" s="4">
        <v>36</v>
      </c>
      <c r="E6" s="4">
        <f>255*D6</f>
        <v>9180</v>
      </c>
      <c r="F6" s="4">
        <f>210*D6</f>
        <v>7560</v>
      </c>
      <c r="G6" s="4">
        <f>60*D6</f>
        <v>2160</v>
      </c>
      <c r="H6" s="4">
        <v>0</v>
      </c>
      <c r="I6" s="4">
        <f>51*D6</f>
        <v>1836</v>
      </c>
      <c r="J6" s="6">
        <v>0</v>
      </c>
      <c r="K6" s="4">
        <v>0</v>
      </c>
      <c r="L6" s="4">
        <f>40*D6*30</f>
        <v>43200</v>
      </c>
      <c r="M6" s="4">
        <f>120*D6</f>
        <v>4320</v>
      </c>
      <c r="N6" s="4">
        <f>M6</f>
        <v>4320</v>
      </c>
    </row>
    <row r="7" spans="1:14" ht="12.75">
      <c r="A7" s="349"/>
      <c r="B7" s="337">
        <v>3</v>
      </c>
      <c r="C7" s="2" t="s">
        <v>16</v>
      </c>
      <c r="D7" s="2">
        <v>36</v>
      </c>
      <c r="E7" s="2">
        <f>255*D7</f>
        <v>9180</v>
      </c>
      <c r="F7" s="2">
        <f>210*D7</f>
        <v>7560</v>
      </c>
      <c r="G7" s="2">
        <f>60*D7</f>
        <v>2160</v>
      </c>
      <c r="H7" s="2">
        <v>0</v>
      </c>
      <c r="I7" s="2">
        <f>51*D7</f>
        <v>1836</v>
      </c>
      <c r="J7" s="6">
        <v>0</v>
      </c>
      <c r="K7" s="2">
        <v>0</v>
      </c>
      <c r="L7" s="2">
        <f>40*D7*30</f>
        <v>43200</v>
      </c>
      <c r="M7" s="2"/>
      <c r="N7" s="2"/>
    </row>
    <row r="8" spans="1:14" ht="12.75">
      <c r="A8" s="349"/>
      <c r="B8" s="337"/>
      <c r="C8" s="2" t="s">
        <v>18</v>
      </c>
      <c r="D8" s="2">
        <v>36</v>
      </c>
      <c r="E8" s="2">
        <f>255*D8</f>
        <v>9180</v>
      </c>
      <c r="F8" s="2">
        <f>240*D8</f>
        <v>8640</v>
      </c>
      <c r="G8" s="2">
        <f>75*D8</f>
        <v>2700</v>
      </c>
      <c r="H8" s="2">
        <v>0</v>
      </c>
      <c r="I8" s="2">
        <f>60*D8</f>
        <v>2160</v>
      </c>
      <c r="J8" s="6">
        <v>0</v>
      </c>
      <c r="K8" s="2">
        <v>0</v>
      </c>
      <c r="L8" s="2">
        <f>40*D8*30</f>
        <v>43200</v>
      </c>
      <c r="M8" s="2"/>
      <c r="N8" s="2"/>
    </row>
    <row r="9" spans="1:14" ht="12.75">
      <c r="A9" s="349"/>
      <c r="B9" s="332" t="s">
        <v>19</v>
      </c>
      <c r="C9" s="333"/>
      <c r="D9" s="4">
        <f aca="true" t="shared" si="0" ref="D9:L9">SUM(D7:D8)</f>
        <v>72</v>
      </c>
      <c r="E9" s="4">
        <f t="shared" si="0"/>
        <v>18360</v>
      </c>
      <c r="F9" s="4">
        <f t="shared" si="0"/>
        <v>16200</v>
      </c>
      <c r="G9" s="4">
        <f t="shared" si="0"/>
        <v>4860</v>
      </c>
      <c r="H9" s="4">
        <f t="shared" si="0"/>
        <v>0</v>
      </c>
      <c r="I9" s="4">
        <f t="shared" si="0"/>
        <v>3996</v>
      </c>
      <c r="J9" s="6">
        <f t="shared" si="0"/>
        <v>0</v>
      </c>
      <c r="K9" s="4">
        <f t="shared" si="0"/>
        <v>0</v>
      </c>
      <c r="L9" s="4">
        <f t="shared" si="0"/>
        <v>86400</v>
      </c>
      <c r="M9" s="4">
        <f>120*D9</f>
        <v>8640</v>
      </c>
      <c r="N9" s="4">
        <f>M9</f>
        <v>8640</v>
      </c>
    </row>
    <row r="10" spans="1:14" ht="12.75">
      <c r="A10" s="349"/>
      <c r="B10" s="361">
        <v>4</v>
      </c>
      <c r="C10" s="2" t="s">
        <v>17</v>
      </c>
      <c r="D10" s="3">
        <v>36</v>
      </c>
      <c r="E10" s="2">
        <f>255*D10</f>
        <v>9180</v>
      </c>
      <c r="F10" s="2">
        <f>210*D10</f>
        <v>7560</v>
      </c>
      <c r="G10" s="2">
        <f>60*D10</f>
        <v>2160</v>
      </c>
      <c r="H10" s="2">
        <v>0</v>
      </c>
      <c r="I10" s="2">
        <f>51*D10</f>
        <v>1836</v>
      </c>
      <c r="J10" s="6">
        <v>0</v>
      </c>
      <c r="K10" s="2">
        <v>0</v>
      </c>
      <c r="L10" s="2">
        <f aca="true" t="shared" si="1" ref="L10:L27">40*D10*30</f>
        <v>43200</v>
      </c>
      <c r="M10" s="2"/>
      <c r="N10" s="2"/>
    </row>
    <row r="11" spans="1:14" ht="12.75">
      <c r="A11" s="349"/>
      <c r="B11" s="362"/>
      <c r="C11" s="2" t="s">
        <v>20</v>
      </c>
      <c r="D11" s="3">
        <v>36</v>
      </c>
      <c r="E11" s="2">
        <f>255*D11</f>
        <v>9180</v>
      </c>
      <c r="F11" s="2">
        <f>240*D11</f>
        <v>8640</v>
      </c>
      <c r="G11" s="2">
        <f>75*D11</f>
        <v>2700</v>
      </c>
      <c r="H11" s="2">
        <v>0</v>
      </c>
      <c r="I11" s="2">
        <f>60*D11</f>
        <v>2160</v>
      </c>
      <c r="J11" s="6">
        <v>0</v>
      </c>
      <c r="K11" s="2">
        <v>0</v>
      </c>
      <c r="L11" s="2">
        <f t="shared" si="1"/>
        <v>43200</v>
      </c>
      <c r="M11" s="2"/>
      <c r="N11" s="2"/>
    </row>
    <row r="12" spans="1:14" ht="12.75">
      <c r="A12" s="349"/>
      <c r="B12" s="332" t="s">
        <v>21</v>
      </c>
      <c r="C12" s="333"/>
      <c r="D12" s="4">
        <f aca="true" t="shared" si="2" ref="D12:L12">SUM(D10:D11)</f>
        <v>72</v>
      </c>
      <c r="E12" s="4">
        <f t="shared" si="2"/>
        <v>18360</v>
      </c>
      <c r="F12" s="4">
        <f t="shared" si="2"/>
        <v>16200</v>
      </c>
      <c r="G12" s="4">
        <f t="shared" si="2"/>
        <v>4860</v>
      </c>
      <c r="H12" s="4">
        <f t="shared" si="2"/>
        <v>0</v>
      </c>
      <c r="I12" s="4">
        <f t="shared" si="2"/>
        <v>3996</v>
      </c>
      <c r="J12" s="6">
        <f t="shared" si="2"/>
        <v>0</v>
      </c>
      <c r="K12" s="4">
        <f t="shared" si="2"/>
        <v>0</v>
      </c>
      <c r="L12" s="4">
        <f t="shared" si="2"/>
        <v>86400</v>
      </c>
      <c r="M12" s="4">
        <f>120*D12</f>
        <v>8640</v>
      </c>
      <c r="N12" s="4">
        <f>M12</f>
        <v>8640</v>
      </c>
    </row>
    <row r="13" spans="1:14" ht="12.75">
      <c r="A13" s="349"/>
      <c r="B13" s="337">
        <v>5</v>
      </c>
      <c r="C13" s="2" t="s">
        <v>16</v>
      </c>
      <c r="D13" s="2">
        <v>36</v>
      </c>
      <c r="E13" s="2">
        <f>255*D13</f>
        <v>9180</v>
      </c>
      <c r="F13" s="2">
        <f>210*D13</f>
        <v>7560</v>
      </c>
      <c r="G13" s="2">
        <f>60*D13</f>
        <v>2160</v>
      </c>
      <c r="H13" s="2">
        <v>0</v>
      </c>
      <c r="I13" s="2">
        <f>51*D13</f>
        <v>1836</v>
      </c>
      <c r="J13" s="6">
        <v>0</v>
      </c>
      <c r="K13" s="2">
        <v>0</v>
      </c>
      <c r="L13" s="2">
        <f>40*D13*30</f>
        <v>43200</v>
      </c>
      <c r="M13" s="2"/>
      <c r="N13" s="2"/>
    </row>
    <row r="14" spans="1:14" ht="12.75">
      <c r="A14" s="349"/>
      <c r="B14" s="337"/>
      <c r="C14" s="2" t="s">
        <v>18</v>
      </c>
      <c r="D14" s="3">
        <v>36</v>
      </c>
      <c r="E14" s="2">
        <f>255*D14</f>
        <v>9180</v>
      </c>
      <c r="F14" s="2">
        <f>240*D14</f>
        <v>8640</v>
      </c>
      <c r="G14" s="2">
        <f>75*D14</f>
        <v>2700</v>
      </c>
      <c r="H14" s="2">
        <v>0</v>
      </c>
      <c r="I14" s="2">
        <f>60*D14</f>
        <v>2160</v>
      </c>
      <c r="J14" s="6">
        <v>0</v>
      </c>
      <c r="K14" s="2">
        <v>0</v>
      </c>
      <c r="L14" s="2">
        <f t="shared" si="1"/>
        <v>43200</v>
      </c>
      <c r="M14" s="2"/>
      <c r="N14" s="2"/>
    </row>
    <row r="15" spans="1:14" ht="12.75">
      <c r="A15" s="349"/>
      <c r="B15" s="337"/>
      <c r="C15" s="2" t="s">
        <v>22</v>
      </c>
      <c r="D15" s="3">
        <v>36</v>
      </c>
      <c r="E15" s="2">
        <f>255*D15</f>
        <v>9180</v>
      </c>
      <c r="F15" s="2">
        <f>240*D15</f>
        <v>8640</v>
      </c>
      <c r="G15" s="2">
        <f>75*D15</f>
        <v>2700</v>
      </c>
      <c r="H15" s="2">
        <v>0</v>
      </c>
      <c r="I15" s="2">
        <f>60*D15</f>
        <v>2160</v>
      </c>
      <c r="J15" s="6">
        <v>0</v>
      </c>
      <c r="K15" s="2">
        <v>0</v>
      </c>
      <c r="L15" s="2">
        <f t="shared" si="1"/>
        <v>43200</v>
      </c>
      <c r="M15" s="2"/>
      <c r="N15" s="2"/>
    </row>
    <row r="16" spans="1:14" ht="12.75">
      <c r="A16" s="349"/>
      <c r="B16" s="332" t="s">
        <v>23</v>
      </c>
      <c r="C16" s="333"/>
      <c r="D16" s="4">
        <f aca="true" t="shared" si="3" ref="D16:L16">SUM(D13:D15)</f>
        <v>108</v>
      </c>
      <c r="E16" s="4">
        <f t="shared" si="3"/>
        <v>27540</v>
      </c>
      <c r="F16" s="4">
        <f t="shared" si="3"/>
        <v>24840</v>
      </c>
      <c r="G16" s="4">
        <f t="shared" si="3"/>
        <v>7560</v>
      </c>
      <c r="H16" s="4">
        <f t="shared" si="3"/>
        <v>0</v>
      </c>
      <c r="I16" s="4">
        <f t="shared" si="3"/>
        <v>6156</v>
      </c>
      <c r="J16" s="6">
        <f t="shared" si="3"/>
        <v>0</v>
      </c>
      <c r="K16" s="4">
        <f t="shared" si="3"/>
        <v>0</v>
      </c>
      <c r="L16" s="4">
        <f t="shared" si="3"/>
        <v>129600</v>
      </c>
      <c r="M16" s="4">
        <f>120*D16</f>
        <v>12960</v>
      </c>
      <c r="N16" s="4">
        <f>M16</f>
        <v>12960</v>
      </c>
    </row>
    <row r="17" spans="1:14" ht="12.75">
      <c r="A17" s="349"/>
      <c r="B17" s="337">
        <v>6</v>
      </c>
      <c r="C17" s="2" t="s">
        <v>17</v>
      </c>
      <c r="D17" s="3">
        <v>36</v>
      </c>
      <c r="E17" s="2">
        <f>255*D17</f>
        <v>9180</v>
      </c>
      <c r="F17" s="2">
        <f>210*D17</f>
        <v>7560</v>
      </c>
      <c r="G17" s="2">
        <f>60*D17</f>
        <v>2160</v>
      </c>
      <c r="H17" s="2">
        <v>0</v>
      </c>
      <c r="I17" s="2">
        <f>51*D17</f>
        <v>1836</v>
      </c>
      <c r="J17" s="6">
        <v>0</v>
      </c>
      <c r="K17" s="2">
        <v>0</v>
      </c>
      <c r="L17" s="2">
        <f>40*D17*30</f>
        <v>43200</v>
      </c>
      <c r="M17" s="2"/>
      <c r="N17" s="2"/>
    </row>
    <row r="18" spans="1:14" ht="12.75">
      <c r="A18" s="349"/>
      <c r="B18" s="337"/>
      <c r="C18" s="2" t="s">
        <v>20</v>
      </c>
      <c r="D18" s="3">
        <v>36</v>
      </c>
      <c r="E18" s="2">
        <f>255*D18</f>
        <v>9180</v>
      </c>
      <c r="F18" s="2">
        <f>240*D18</f>
        <v>8640</v>
      </c>
      <c r="G18" s="2">
        <f>75*D18</f>
        <v>2700</v>
      </c>
      <c r="H18" s="2">
        <v>0</v>
      </c>
      <c r="I18" s="2">
        <f>60*D18</f>
        <v>2160</v>
      </c>
      <c r="J18" s="6">
        <v>0</v>
      </c>
      <c r="K18" s="2">
        <v>0</v>
      </c>
      <c r="L18" s="2">
        <f t="shared" si="1"/>
        <v>43200</v>
      </c>
      <c r="M18" s="2"/>
      <c r="N18" s="2"/>
    </row>
    <row r="19" spans="1:14" ht="12.75">
      <c r="A19" s="349"/>
      <c r="B19" s="337"/>
      <c r="C19" s="2" t="s">
        <v>24</v>
      </c>
      <c r="D19" s="3">
        <v>36</v>
      </c>
      <c r="E19" s="2">
        <f>255*D19</f>
        <v>9180</v>
      </c>
      <c r="F19" s="2">
        <f>210*D19</f>
        <v>7560</v>
      </c>
      <c r="G19" s="2">
        <f>60*D19</f>
        <v>2160</v>
      </c>
      <c r="H19" s="2">
        <v>0</v>
      </c>
      <c r="I19" s="2">
        <f>45*D19</f>
        <v>1620</v>
      </c>
      <c r="J19" s="6">
        <v>0</v>
      </c>
      <c r="K19" s="2">
        <v>0</v>
      </c>
      <c r="L19" s="2">
        <f t="shared" si="1"/>
        <v>43200</v>
      </c>
      <c r="M19" s="2"/>
      <c r="N19" s="2"/>
    </row>
    <row r="20" spans="1:14" ht="12.75">
      <c r="A20" s="349"/>
      <c r="B20" s="332" t="s">
        <v>25</v>
      </c>
      <c r="C20" s="333"/>
      <c r="D20" s="4">
        <f aca="true" t="shared" si="4" ref="D20:L20">SUM(D17:D19)</f>
        <v>108</v>
      </c>
      <c r="E20" s="4">
        <f t="shared" si="4"/>
        <v>27540</v>
      </c>
      <c r="F20" s="4">
        <f t="shared" si="4"/>
        <v>23760</v>
      </c>
      <c r="G20" s="4">
        <f t="shared" si="4"/>
        <v>7020</v>
      </c>
      <c r="H20" s="4">
        <f t="shared" si="4"/>
        <v>0</v>
      </c>
      <c r="I20" s="4">
        <f t="shared" si="4"/>
        <v>5616</v>
      </c>
      <c r="J20" s="6">
        <f t="shared" si="4"/>
        <v>0</v>
      </c>
      <c r="K20" s="4">
        <f t="shared" si="4"/>
        <v>0</v>
      </c>
      <c r="L20" s="4">
        <f t="shared" si="4"/>
        <v>129600</v>
      </c>
      <c r="M20" s="4">
        <f>120*D20</f>
        <v>12960</v>
      </c>
      <c r="N20" s="4">
        <f>M20</f>
        <v>12960</v>
      </c>
    </row>
    <row r="21" spans="1:14" ht="12.75">
      <c r="A21" s="349"/>
      <c r="B21" s="337">
        <v>7</v>
      </c>
      <c r="C21" s="2" t="s">
        <v>18</v>
      </c>
      <c r="D21" s="3">
        <v>36</v>
      </c>
      <c r="E21" s="2">
        <f>255*D21</f>
        <v>9180</v>
      </c>
      <c r="F21" s="2">
        <f>240*D21</f>
        <v>8640</v>
      </c>
      <c r="G21" s="2">
        <f>75*D21</f>
        <v>2700</v>
      </c>
      <c r="H21" s="2">
        <v>0</v>
      </c>
      <c r="I21" s="2">
        <f>60*D21</f>
        <v>2160</v>
      </c>
      <c r="J21" s="6">
        <v>0</v>
      </c>
      <c r="K21" s="2">
        <v>0</v>
      </c>
      <c r="L21" s="2">
        <f>40*D21*30</f>
        <v>43200</v>
      </c>
      <c r="M21" s="2"/>
      <c r="N21" s="2"/>
    </row>
    <row r="22" spans="1:14" ht="12.75">
      <c r="A22" s="349"/>
      <c r="B22" s="337"/>
      <c r="C22" s="2" t="s">
        <v>22</v>
      </c>
      <c r="D22" s="3">
        <v>36</v>
      </c>
      <c r="E22" s="2">
        <f>255*D22</f>
        <v>9180</v>
      </c>
      <c r="F22" s="2">
        <f>240*D22</f>
        <v>8640</v>
      </c>
      <c r="G22" s="2">
        <f>75*D22</f>
        <v>2700</v>
      </c>
      <c r="H22" s="2">
        <v>0</v>
      </c>
      <c r="I22" s="2">
        <f>60*D22</f>
        <v>2160</v>
      </c>
      <c r="J22" s="6">
        <v>0</v>
      </c>
      <c r="K22" s="2">
        <v>0</v>
      </c>
      <c r="L22" s="2">
        <f>40*D22*30</f>
        <v>43200</v>
      </c>
      <c r="M22" s="2"/>
      <c r="N22" s="2"/>
    </row>
    <row r="23" spans="1:14" ht="12.75">
      <c r="A23" s="349"/>
      <c r="B23" s="337"/>
      <c r="C23" s="2" t="s">
        <v>26</v>
      </c>
      <c r="D23" s="2">
        <v>36</v>
      </c>
      <c r="E23" s="2">
        <f>255*D23</f>
        <v>9180</v>
      </c>
      <c r="F23" s="2">
        <f>210*D23</f>
        <v>7560</v>
      </c>
      <c r="G23" s="2">
        <f>60*D23</f>
        <v>2160</v>
      </c>
      <c r="H23" s="2">
        <v>0</v>
      </c>
      <c r="I23" s="2">
        <v>0</v>
      </c>
      <c r="J23" s="6">
        <v>0</v>
      </c>
      <c r="K23" s="2">
        <v>0</v>
      </c>
      <c r="L23" s="2">
        <f t="shared" si="1"/>
        <v>43200</v>
      </c>
      <c r="M23" s="2"/>
      <c r="N23" s="2"/>
    </row>
    <row r="24" spans="1:14" ht="12.75">
      <c r="A24" s="349"/>
      <c r="B24" s="332" t="s">
        <v>27</v>
      </c>
      <c r="C24" s="333"/>
      <c r="D24" s="4">
        <f aca="true" t="shared" si="5" ref="D24:L24">SUM(D21:D23)</f>
        <v>108</v>
      </c>
      <c r="E24" s="4">
        <f t="shared" si="5"/>
        <v>27540</v>
      </c>
      <c r="F24" s="4">
        <f t="shared" si="5"/>
        <v>24840</v>
      </c>
      <c r="G24" s="4">
        <f t="shared" si="5"/>
        <v>7560</v>
      </c>
      <c r="H24" s="4">
        <f t="shared" si="5"/>
        <v>0</v>
      </c>
      <c r="I24" s="4">
        <f t="shared" si="5"/>
        <v>4320</v>
      </c>
      <c r="J24" s="6">
        <f t="shared" si="5"/>
        <v>0</v>
      </c>
      <c r="K24" s="4">
        <f t="shared" si="5"/>
        <v>0</v>
      </c>
      <c r="L24" s="4">
        <f t="shared" si="5"/>
        <v>129600</v>
      </c>
      <c r="M24" s="4">
        <f>120*D24</f>
        <v>12960</v>
      </c>
      <c r="N24" s="4">
        <f>M24</f>
        <v>12960</v>
      </c>
    </row>
    <row r="25" spans="1:14" ht="12.75">
      <c r="A25" s="349"/>
      <c r="B25" s="337">
        <v>8</v>
      </c>
      <c r="C25" s="2" t="s">
        <v>20</v>
      </c>
      <c r="D25" s="2">
        <v>36</v>
      </c>
      <c r="E25" s="2">
        <f>255*D25</f>
        <v>9180</v>
      </c>
      <c r="F25" s="2">
        <f>240*D25</f>
        <v>8640</v>
      </c>
      <c r="G25" s="2">
        <f>75*D25</f>
        <v>2700</v>
      </c>
      <c r="H25" s="2">
        <v>0</v>
      </c>
      <c r="I25" s="2">
        <f>60*D25</f>
        <v>2160</v>
      </c>
      <c r="J25" s="6">
        <v>0</v>
      </c>
      <c r="K25" s="2">
        <v>0</v>
      </c>
      <c r="L25" s="3">
        <f t="shared" si="1"/>
        <v>43200</v>
      </c>
      <c r="M25" s="2">
        <f>120*D25</f>
        <v>4320</v>
      </c>
      <c r="N25" s="2"/>
    </row>
    <row r="26" spans="1:14" ht="12.75">
      <c r="A26" s="349"/>
      <c r="B26" s="337"/>
      <c r="C26" s="2" t="s">
        <v>24</v>
      </c>
      <c r="D26" s="2">
        <v>36</v>
      </c>
      <c r="E26" s="2">
        <f>255*D26</f>
        <v>9180</v>
      </c>
      <c r="F26" s="2">
        <f>210*D26</f>
        <v>7560</v>
      </c>
      <c r="G26" s="2">
        <f>60*D26</f>
        <v>2160</v>
      </c>
      <c r="H26" s="2">
        <v>0</v>
      </c>
      <c r="I26" s="2">
        <f>45*D26</f>
        <v>1620</v>
      </c>
      <c r="J26" s="6">
        <v>0</v>
      </c>
      <c r="K26" s="2">
        <v>0</v>
      </c>
      <c r="L26" s="3">
        <f t="shared" si="1"/>
        <v>43200</v>
      </c>
      <c r="M26" s="2">
        <f>120*D26</f>
        <v>4320</v>
      </c>
      <c r="N26" s="2"/>
    </row>
    <row r="27" spans="1:14" ht="12.75">
      <c r="A27" s="349"/>
      <c r="B27" s="337"/>
      <c r="C27" s="2" t="s">
        <v>28</v>
      </c>
      <c r="D27" s="2">
        <v>18</v>
      </c>
      <c r="E27" s="2">
        <f>255*D27</f>
        <v>4590</v>
      </c>
      <c r="F27" s="2">
        <f>210*D27</f>
        <v>3780</v>
      </c>
      <c r="G27" s="2">
        <f>60*D27</f>
        <v>1080</v>
      </c>
      <c r="H27" s="2">
        <v>0</v>
      </c>
      <c r="I27" s="2">
        <v>0</v>
      </c>
      <c r="J27" s="6">
        <v>0</v>
      </c>
      <c r="K27" s="2">
        <v>0</v>
      </c>
      <c r="L27" s="3">
        <f t="shared" si="1"/>
        <v>21600</v>
      </c>
      <c r="M27" s="2">
        <f>120*D27</f>
        <v>2160</v>
      </c>
      <c r="N27" s="2"/>
    </row>
    <row r="28" spans="1:14" ht="12.75">
      <c r="A28" s="349"/>
      <c r="B28" s="337"/>
      <c r="C28" s="3" t="s">
        <v>29</v>
      </c>
      <c r="D28" s="3">
        <v>18</v>
      </c>
      <c r="E28" s="3">
        <f>20*D28*30</f>
        <v>10800</v>
      </c>
      <c r="F28" s="2">
        <f>15*D28*30</f>
        <v>8100</v>
      </c>
      <c r="G28" s="2">
        <f>2*D28*30</f>
        <v>1080</v>
      </c>
      <c r="H28" s="3">
        <v>0</v>
      </c>
      <c r="I28" s="2">
        <v>0</v>
      </c>
      <c r="J28" s="6">
        <v>0</v>
      </c>
      <c r="K28" s="3">
        <v>0</v>
      </c>
      <c r="L28" s="2">
        <f>100*D28*30</f>
        <v>54000</v>
      </c>
      <c r="M28" s="3">
        <f>140*D28</f>
        <v>2520</v>
      </c>
      <c r="N28" s="2"/>
    </row>
    <row r="29" spans="1:14" ht="12.75">
      <c r="A29" s="349"/>
      <c r="B29" s="337"/>
      <c r="C29" s="3" t="s">
        <v>30</v>
      </c>
      <c r="D29" s="3">
        <v>14</v>
      </c>
      <c r="E29" s="3">
        <f>3*D29</f>
        <v>42</v>
      </c>
      <c r="F29" s="2">
        <v>0</v>
      </c>
      <c r="G29" s="2">
        <f>6*D29</f>
        <v>84</v>
      </c>
      <c r="H29" s="2">
        <f>10*D29</f>
        <v>140</v>
      </c>
      <c r="I29" s="2">
        <v>0</v>
      </c>
      <c r="J29" s="6">
        <v>0</v>
      </c>
      <c r="K29" s="2">
        <f>170*D29</f>
        <v>2380</v>
      </c>
      <c r="L29" s="2">
        <f>18*D29*30</f>
        <v>7560</v>
      </c>
      <c r="M29" s="3">
        <f>60*18</f>
        <v>1080</v>
      </c>
      <c r="N29" s="2"/>
    </row>
    <row r="30" spans="1:14" ht="12.75">
      <c r="A30" s="349"/>
      <c r="B30" s="332" t="s">
        <v>31</v>
      </c>
      <c r="C30" s="333"/>
      <c r="D30" s="4">
        <f>SUM(D25:D29)</f>
        <v>122</v>
      </c>
      <c r="E30" s="4">
        <f aca="true" t="shared" si="6" ref="E30:L30">SUM(E25:E29)</f>
        <v>33792</v>
      </c>
      <c r="F30" s="4">
        <f t="shared" si="6"/>
        <v>28080</v>
      </c>
      <c r="G30" s="4">
        <f t="shared" si="6"/>
        <v>7104</v>
      </c>
      <c r="H30" s="4">
        <f t="shared" si="6"/>
        <v>140</v>
      </c>
      <c r="I30" s="4">
        <f t="shared" si="6"/>
        <v>3780</v>
      </c>
      <c r="J30" s="6">
        <f t="shared" si="6"/>
        <v>0</v>
      </c>
      <c r="K30" s="4">
        <f t="shared" si="6"/>
        <v>2380</v>
      </c>
      <c r="L30" s="4">
        <f t="shared" si="6"/>
        <v>169560</v>
      </c>
      <c r="M30" s="4">
        <f>SUM(M25:M29)</f>
        <v>14400</v>
      </c>
      <c r="N30" s="4">
        <f>40*18+150*2+5*18*14+M30</f>
        <v>16680</v>
      </c>
    </row>
    <row r="31" spans="1:14" ht="12.75">
      <c r="A31" s="349"/>
      <c r="B31" s="337">
        <v>9</v>
      </c>
      <c r="C31" s="2" t="s">
        <v>22</v>
      </c>
      <c r="D31" s="2">
        <v>36</v>
      </c>
      <c r="E31" s="2">
        <f>255*D31</f>
        <v>9180</v>
      </c>
      <c r="F31" s="2">
        <f>240*D31</f>
        <v>8640</v>
      </c>
      <c r="G31" s="2">
        <f>75*D31</f>
        <v>2700</v>
      </c>
      <c r="H31" s="2">
        <v>0</v>
      </c>
      <c r="I31" s="2">
        <f>60*D31</f>
        <v>2160</v>
      </c>
      <c r="J31" s="6">
        <v>0</v>
      </c>
      <c r="K31" s="2">
        <v>0</v>
      </c>
      <c r="L31" s="2">
        <f>40*D31*30</f>
        <v>43200</v>
      </c>
      <c r="M31" s="2">
        <f>120*D31</f>
        <v>4320</v>
      </c>
      <c r="N31" s="2"/>
    </row>
    <row r="32" spans="1:14" ht="12.75">
      <c r="A32" s="349"/>
      <c r="B32" s="337"/>
      <c r="C32" s="2" t="s">
        <v>26</v>
      </c>
      <c r="D32" s="2">
        <v>36</v>
      </c>
      <c r="E32" s="2">
        <f>255*D32</f>
        <v>9180</v>
      </c>
      <c r="F32" s="2">
        <f>210*D32</f>
        <v>7560</v>
      </c>
      <c r="G32" s="2">
        <f>60*D32</f>
        <v>2160</v>
      </c>
      <c r="H32" s="2">
        <v>0</v>
      </c>
      <c r="I32" s="2">
        <v>0</v>
      </c>
      <c r="J32" s="6">
        <v>0</v>
      </c>
      <c r="K32" s="2">
        <v>0</v>
      </c>
      <c r="L32" s="2">
        <f>40*D32*30</f>
        <v>43200</v>
      </c>
      <c r="M32" s="2">
        <f>120*D32</f>
        <v>4320</v>
      </c>
      <c r="N32" s="2"/>
    </row>
    <row r="33" spans="1:14" ht="12.75">
      <c r="A33" s="349"/>
      <c r="B33" s="337"/>
      <c r="C33" s="2" t="s">
        <v>29</v>
      </c>
      <c r="D33" s="2">
        <v>36</v>
      </c>
      <c r="E33" s="3">
        <f>20*D33*30</f>
        <v>21600</v>
      </c>
      <c r="F33" s="2">
        <f>15*D33*30</f>
        <v>16200</v>
      </c>
      <c r="G33" s="2">
        <f>2*D33*30</f>
        <v>2160</v>
      </c>
      <c r="H33" s="3">
        <v>0</v>
      </c>
      <c r="I33" s="2">
        <v>0</v>
      </c>
      <c r="J33" s="6">
        <v>0</v>
      </c>
      <c r="K33" s="3">
        <v>0</v>
      </c>
      <c r="L33" s="2">
        <f>100*D33*30</f>
        <v>108000</v>
      </c>
      <c r="M33" s="2">
        <f>140*D33</f>
        <v>5040</v>
      </c>
      <c r="N33" s="2"/>
    </row>
    <row r="34" spans="1:14" ht="12.75">
      <c r="A34" s="349"/>
      <c r="B34" s="337"/>
      <c r="C34" s="2" t="s">
        <v>30</v>
      </c>
      <c r="D34" s="2">
        <v>14</v>
      </c>
      <c r="E34" s="3">
        <f>3*D34</f>
        <v>42</v>
      </c>
      <c r="F34" s="2">
        <v>0</v>
      </c>
      <c r="G34" s="2">
        <f>6*D34</f>
        <v>84</v>
      </c>
      <c r="H34" s="2">
        <f>10*D34</f>
        <v>140</v>
      </c>
      <c r="I34" s="2">
        <v>0</v>
      </c>
      <c r="J34" s="6">
        <v>0</v>
      </c>
      <c r="K34" s="2">
        <f>170*D34</f>
        <v>2380</v>
      </c>
      <c r="L34" s="2">
        <f>18*D34*30</f>
        <v>7560</v>
      </c>
      <c r="M34" s="2">
        <f>60*18</f>
        <v>1080</v>
      </c>
      <c r="N34" s="2"/>
    </row>
    <row r="35" spans="1:14" ht="12.75">
      <c r="A35" s="349"/>
      <c r="B35" s="337"/>
      <c r="C35" s="2" t="s">
        <v>32</v>
      </c>
      <c r="D35" s="2">
        <v>3</v>
      </c>
      <c r="E35" s="2">
        <f>14*D35</f>
        <v>42</v>
      </c>
      <c r="F35" s="2">
        <v>0</v>
      </c>
      <c r="G35" s="2">
        <f>9*D35</f>
        <v>27</v>
      </c>
      <c r="H35" s="2">
        <f>45*D35</f>
        <v>135</v>
      </c>
      <c r="I35" s="2">
        <v>0</v>
      </c>
      <c r="J35" s="6">
        <v>0</v>
      </c>
      <c r="K35" s="2">
        <f>90*D35</f>
        <v>270</v>
      </c>
      <c r="L35" s="2">
        <f>18*D35*30</f>
        <v>1620</v>
      </c>
      <c r="M35" s="2">
        <f>75+1.5*30*D35</f>
        <v>210</v>
      </c>
      <c r="N35" s="2"/>
    </row>
    <row r="36" spans="1:14" ht="12.75">
      <c r="A36" s="349"/>
      <c r="B36" s="332" t="s">
        <v>33</v>
      </c>
      <c r="C36" s="333"/>
      <c r="D36" s="4">
        <f>SUM(D31:D35)</f>
        <v>125</v>
      </c>
      <c r="E36" s="4">
        <f aca="true" t="shared" si="7" ref="E36:M36">SUM(E31:E35)</f>
        <v>40044</v>
      </c>
      <c r="F36" s="4">
        <f t="shared" si="7"/>
        <v>32400</v>
      </c>
      <c r="G36" s="4">
        <f t="shared" si="7"/>
        <v>7131</v>
      </c>
      <c r="H36" s="4">
        <f t="shared" si="7"/>
        <v>275</v>
      </c>
      <c r="I36" s="4">
        <f t="shared" si="7"/>
        <v>2160</v>
      </c>
      <c r="J36" s="6">
        <f t="shared" si="7"/>
        <v>0</v>
      </c>
      <c r="K36" s="4">
        <f t="shared" si="7"/>
        <v>2650</v>
      </c>
      <c r="L36" s="4">
        <f t="shared" si="7"/>
        <v>203580</v>
      </c>
      <c r="M36" s="4">
        <f t="shared" si="7"/>
        <v>14970</v>
      </c>
      <c r="N36" s="4">
        <f>40*18+2*150+5*14*18+M36</f>
        <v>17250</v>
      </c>
    </row>
    <row r="37" spans="1:14" ht="12.75">
      <c r="A37" s="349"/>
      <c r="B37" s="337">
        <v>10</v>
      </c>
      <c r="C37" s="2" t="s">
        <v>24</v>
      </c>
      <c r="D37" s="2">
        <v>36</v>
      </c>
      <c r="E37" s="2">
        <f>255*D37</f>
        <v>9180</v>
      </c>
      <c r="F37" s="2">
        <f>210*D37</f>
        <v>7560</v>
      </c>
      <c r="G37" s="2">
        <f>60*D37</f>
        <v>2160</v>
      </c>
      <c r="H37" s="2">
        <v>0</v>
      </c>
      <c r="I37" s="2">
        <f>45*D37</f>
        <v>1620</v>
      </c>
      <c r="J37" s="6">
        <v>0</v>
      </c>
      <c r="K37" s="2">
        <v>0</v>
      </c>
      <c r="L37" s="2">
        <f>40*D37*30</f>
        <v>43200</v>
      </c>
      <c r="M37" s="2">
        <f>120*D37</f>
        <v>4320</v>
      </c>
      <c r="N37" s="2"/>
    </row>
    <row r="38" spans="1:14" ht="12.75">
      <c r="A38" s="349"/>
      <c r="B38" s="337"/>
      <c r="C38" s="2" t="s">
        <v>28</v>
      </c>
      <c r="D38" s="2">
        <v>18</v>
      </c>
      <c r="E38" s="2">
        <f>255*D38</f>
        <v>4590</v>
      </c>
      <c r="F38" s="2">
        <f>210*D38</f>
        <v>3780</v>
      </c>
      <c r="G38" s="2">
        <f>60*D38</f>
        <v>1080</v>
      </c>
      <c r="H38" s="2">
        <v>0</v>
      </c>
      <c r="I38" s="2">
        <v>0</v>
      </c>
      <c r="J38" s="6">
        <v>0</v>
      </c>
      <c r="K38" s="2">
        <v>0</v>
      </c>
      <c r="L38" s="2">
        <f>40*D38*30</f>
        <v>21600</v>
      </c>
      <c r="M38" s="2">
        <f>120*D38</f>
        <v>2160</v>
      </c>
      <c r="N38" s="2"/>
    </row>
    <row r="39" spans="1:14" ht="12.75">
      <c r="A39" s="349"/>
      <c r="B39" s="337"/>
      <c r="C39" s="2" t="s">
        <v>29</v>
      </c>
      <c r="D39" s="2">
        <v>54</v>
      </c>
      <c r="E39" s="3">
        <f>20*D39*30</f>
        <v>32400</v>
      </c>
      <c r="F39" s="2">
        <f>15*D39*30</f>
        <v>24300</v>
      </c>
      <c r="G39" s="2">
        <f>2*D39*30</f>
        <v>3240</v>
      </c>
      <c r="H39" s="3">
        <v>0</v>
      </c>
      <c r="I39" s="2">
        <v>0</v>
      </c>
      <c r="J39" s="6">
        <v>0</v>
      </c>
      <c r="K39" s="3">
        <v>0</v>
      </c>
      <c r="L39" s="2">
        <f>100*D39*30</f>
        <v>162000</v>
      </c>
      <c r="M39" s="2">
        <f>140*D39</f>
        <v>7560</v>
      </c>
      <c r="N39" s="2"/>
    </row>
    <row r="40" spans="1:14" ht="12.75">
      <c r="A40" s="349"/>
      <c r="B40" s="337"/>
      <c r="C40" s="2" t="s">
        <v>30</v>
      </c>
      <c r="D40" s="2">
        <v>14</v>
      </c>
      <c r="E40" s="3">
        <f>3*D40</f>
        <v>42</v>
      </c>
      <c r="F40" s="2">
        <v>0</v>
      </c>
      <c r="G40" s="2">
        <f>6*D40</f>
        <v>84</v>
      </c>
      <c r="H40" s="2">
        <f>10*D40</f>
        <v>140</v>
      </c>
      <c r="I40" s="2">
        <v>0</v>
      </c>
      <c r="J40" s="6">
        <v>0</v>
      </c>
      <c r="K40" s="2">
        <f>170*D40</f>
        <v>2380</v>
      </c>
      <c r="L40" s="2">
        <f>18*D40*30</f>
        <v>7560</v>
      </c>
      <c r="M40" s="2">
        <f>60*18</f>
        <v>1080</v>
      </c>
      <c r="N40" s="2"/>
    </row>
    <row r="41" spans="1:14" ht="12.75">
      <c r="A41" s="349"/>
      <c r="B41" s="337"/>
      <c r="C41" s="2" t="s">
        <v>32</v>
      </c>
      <c r="D41" s="2">
        <v>3</v>
      </c>
      <c r="E41" s="2">
        <f>14*D41</f>
        <v>42</v>
      </c>
      <c r="F41" s="2">
        <v>0</v>
      </c>
      <c r="G41" s="2">
        <f>9*D41</f>
        <v>27</v>
      </c>
      <c r="H41" s="2">
        <f>45*D41</f>
        <v>135</v>
      </c>
      <c r="I41" s="2">
        <v>0</v>
      </c>
      <c r="J41" s="6">
        <v>0</v>
      </c>
      <c r="K41" s="2">
        <f>90*D41</f>
        <v>270</v>
      </c>
      <c r="L41" s="2">
        <f>18*D41*30</f>
        <v>1620</v>
      </c>
      <c r="M41" s="2">
        <f>75+1.5*30*D41</f>
        <v>210</v>
      </c>
      <c r="N41" s="2"/>
    </row>
    <row r="42" spans="1:14" ht="12.75">
      <c r="A42" s="349"/>
      <c r="B42" s="337"/>
      <c r="C42" s="2" t="s">
        <v>34</v>
      </c>
      <c r="D42" s="2">
        <v>3</v>
      </c>
      <c r="E42" s="2">
        <f>15*D42</f>
        <v>45</v>
      </c>
      <c r="F42" s="2">
        <v>0</v>
      </c>
      <c r="G42" s="2">
        <f>13*D42</f>
        <v>39</v>
      </c>
      <c r="H42" s="2">
        <f>72*D42</f>
        <v>216</v>
      </c>
      <c r="I42" s="2">
        <v>0</v>
      </c>
      <c r="J42" s="6">
        <v>0</v>
      </c>
      <c r="K42" s="2">
        <v>0</v>
      </c>
      <c r="L42" s="2">
        <f>18*D42*30</f>
        <v>1620</v>
      </c>
      <c r="M42" s="2">
        <f>100+1.5*30*D42</f>
        <v>235</v>
      </c>
      <c r="N42" s="2"/>
    </row>
    <row r="43" spans="1:14" ht="12.75">
      <c r="A43" s="349"/>
      <c r="B43" s="332" t="s">
        <v>35</v>
      </c>
      <c r="C43" s="333"/>
      <c r="D43" s="4">
        <f aca="true" t="shared" si="8" ref="D43:M43">SUM(D37:D42)</f>
        <v>128</v>
      </c>
      <c r="E43" s="4">
        <f t="shared" si="8"/>
        <v>46299</v>
      </c>
      <c r="F43" s="4">
        <f t="shared" si="8"/>
        <v>35640</v>
      </c>
      <c r="G43" s="4">
        <f t="shared" si="8"/>
        <v>6630</v>
      </c>
      <c r="H43" s="4">
        <f t="shared" si="8"/>
        <v>491</v>
      </c>
      <c r="I43" s="4">
        <f t="shared" si="8"/>
        <v>1620</v>
      </c>
      <c r="J43" s="6">
        <f t="shared" si="8"/>
        <v>0</v>
      </c>
      <c r="K43" s="4">
        <f t="shared" si="8"/>
        <v>2650</v>
      </c>
      <c r="L43" s="4">
        <f t="shared" si="8"/>
        <v>237600</v>
      </c>
      <c r="M43" s="4">
        <f t="shared" si="8"/>
        <v>15565</v>
      </c>
      <c r="N43" s="4">
        <f>40*18+150*2+5*14*18+M43</f>
        <v>17845</v>
      </c>
    </row>
    <row r="44" spans="1:14" ht="12.75">
      <c r="A44" s="349"/>
      <c r="B44" s="337">
        <v>11</v>
      </c>
      <c r="C44" s="2" t="s">
        <v>26</v>
      </c>
      <c r="D44" s="2">
        <v>36</v>
      </c>
      <c r="E44" s="2">
        <f>255*D44</f>
        <v>9180</v>
      </c>
      <c r="F44" s="2">
        <f>210*D44</f>
        <v>7560</v>
      </c>
      <c r="G44" s="2">
        <f>60*D44</f>
        <v>2160</v>
      </c>
      <c r="H44" s="2">
        <v>0</v>
      </c>
      <c r="I44" s="2">
        <v>0</v>
      </c>
      <c r="J44" s="6">
        <v>0</v>
      </c>
      <c r="K44" s="2">
        <v>0</v>
      </c>
      <c r="L44" s="2">
        <f>40*D44*30</f>
        <v>43200</v>
      </c>
      <c r="M44" s="2">
        <f>120*D44</f>
        <v>4320</v>
      </c>
      <c r="N44" s="2"/>
    </row>
    <row r="45" spans="1:14" ht="12.75">
      <c r="A45" s="349"/>
      <c r="B45" s="337"/>
      <c r="C45" s="2" t="s">
        <v>29</v>
      </c>
      <c r="D45" s="2">
        <v>54</v>
      </c>
      <c r="E45" s="3">
        <f>20*D45*30</f>
        <v>32400</v>
      </c>
      <c r="F45" s="2">
        <f>15*D45*30</f>
        <v>24300</v>
      </c>
      <c r="G45" s="2">
        <f>2*D45*30</f>
        <v>3240</v>
      </c>
      <c r="H45" s="3">
        <v>0</v>
      </c>
      <c r="I45" s="2">
        <v>0</v>
      </c>
      <c r="J45" s="6">
        <v>0</v>
      </c>
      <c r="K45" s="3">
        <v>0</v>
      </c>
      <c r="L45" s="2">
        <f>100*D45*30</f>
        <v>162000</v>
      </c>
      <c r="M45" s="2">
        <f>140*D45</f>
        <v>7560</v>
      </c>
      <c r="N45" s="2"/>
    </row>
    <row r="46" spans="1:14" ht="12.75">
      <c r="A46" s="349"/>
      <c r="B46" s="337"/>
      <c r="C46" s="2" t="s">
        <v>36</v>
      </c>
      <c r="D46" s="2">
        <v>18</v>
      </c>
      <c r="E46" s="2">
        <f>15*D46*30</f>
        <v>8100</v>
      </c>
      <c r="F46" s="2">
        <f>20*D46*30</f>
        <v>10800</v>
      </c>
      <c r="G46" s="2">
        <f>2*D46*30</f>
        <v>1080</v>
      </c>
      <c r="H46" s="2">
        <v>0</v>
      </c>
      <c r="I46" s="2">
        <v>0</v>
      </c>
      <c r="J46" s="6">
        <v>0</v>
      </c>
      <c r="K46" s="2">
        <v>0</v>
      </c>
      <c r="L46" s="2">
        <f>100*D46*30</f>
        <v>54000</v>
      </c>
      <c r="M46" s="2">
        <f>140*D46</f>
        <v>2520</v>
      </c>
      <c r="N46" s="2"/>
    </row>
    <row r="47" spans="1:14" ht="12.75">
      <c r="A47" s="349"/>
      <c r="B47" s="337"/>
      <c r="C47" s="2" t="s">
        <v>30</v>
      </c>
      <c r="D47" s="2">
        <v>14</v>
      </c>
      <c r="E47" s="3">
        <f>3*D47</f>
        <v>42</v>
      </c>
      <c r="F47" s="2">
        <v>0</v>
      </c>
      <c r="G47" s="2">
        <f>6*D47</f>
        <v>84</v>
      </c>
      <c r="H47" s="2">
        <f>10*D47</f>
        <v>140</v>
      </c>
      <c r="I47" s="2">
        <v>0</v>
      </c>
      <c r="J47" s="6">
        <v>0</v>
      </c>
      <c r="K47" s="2">
        <f>170*D47</f>
        <v>2380</v>
      </c>
      <c r="L47" s="2">
        <f>18*D47*30</f>
        <v>7560</v>
      </c>
      <c r="M47" s="2">
        <f>60*18</f>
        <v>1080</v>
      </c>
      <c r="N47" s="2"/>
    </row>
    <row r="48" spans="1:14" ht="12.75">
      <c r="A48" s="349"/>
      <c r="B48" s="337"/>
      <c r="C48" s="2" t="s">
        <v>32</v>
      </c>
      <c r="D48" s="2">
        <v>3</v>
      </c>
      <c r="E48" s="2">
        <f>14*D48</f>
        <v>42</v>
      </c>
      <c r="F48" s="2">
        <v>0</v>
      </c>
      <c r="G48" s="2">
        <f>9*D48</f>
        <v>27</v>
      </c>
      <c r="H48" s="2">
        <f>45*D48</f>
        <v>135</v>
      </c>
      <c r="I48" s="2">
        <v>0</v>
      </c>
      <c r="J48" s="6">
        <v>0</v>
      </c>
      <c r="K48" s="2">
        <f>90*D48</f>
        <v>270</v>
      </c>
      <c r="L48" s="2">
        <f>18*D48*30</f>
        <v>1620</v>
      </c>
      <c r="M48" s="2">
        <f>75+1.5*30*D48</f>
        <v>210</v>
      </c>
      <c r="N48" s="2"/>
    </row>
    <row r="49" spans="1:14" ht="12.75">
      <c r="A49" s="349"/>
      <c r="B49" s="337"/>
      <c r="C49" s="2" t="s">
        <v>34</v>
      </c>
      <c r="D49" s="2">
        <v>3</v>
      </c>
      <c r="E49" s="2">
        <f>15*D49</f>
        <v>45</v>
      </c>
      <c r="F49" s="2">
        <v>0</v>
      </c>
      <c r="G49" s="2">
        <f>13*D49</f>
        <v>39</v>
      </c>
      <c r="H49" s="2">
        <f>72*D49</f>
        <v>216</v>
      </c>
      <c r="I49" s="2">
        <v>0</v>
      </c>
      <c r="J49" s="6">
        <v>0</v>
      </c>
      <c r="K49" s="2">
        <v>0</v>
      </c>
      <c r="L49" s="2">
        <f>18*D49*30</f>
        <v>1620</v>
      </c>
      <c r="M49" s="2">
        <f>1.5*30*D49</f>
        <v>135</v>
      </c>
      <c r="N49" s="2"/>
    </row>
    <row r="50" spans="1:14" ht="12.75">
      <c r="A50" s="349"/>
      <c r="B50" s="2"/>
      <c r="C50" s="3" t="s">
        <v>37</v>
      </c>
      <c r="D50" s="3">
        <v>3</v>
      </c>
      <c r="E50" s="2">
        <f>21*D50</f>
        <v>63</v>
      </c>
      <c r="F50" s="3">
        <v>0</v>
      </c>
      <c r="G50" s="2">
        <f>21*D50</f>
        <v>63</v>
      </c>
      <c r="H50" s="2">
        <f>80*D50</f>
        <v>240</v>
      </c>
      <c r="I50" s="3">
        <v>0</v>
      </c>
      <c r="J50" s="6">
        <v>0</v>
      </c>
      <c r="K50" s="3">
        <v>0</v>
      </c>
      <c r="L50" s="2">
        <f>18*D50*30</f>
        <v>1620</v>
      </c>
      <c r="M50" s="2">
        <f>1.5*30*D50</f>
        <v>135</v>
      </c>
      <c r="N50" s="2"/>
    </row>
    <row r="51" spans="1:14" ht="12.75">
      <c r="A51" s="349"/>
      <c r="B51" s="332" t="s">
        <v>38</v>
      </c>
      <c r="C51" s="333"/>
      <c r="D51" s="4">
        <f aca="true" t="shared" si="9" ref="D51:M51">SUM(D44:D50)</f>
        <v>131</v>
      </c>
      <c r="E51" s="4">
        <f t="shared" si="9"/>
        <v>49872</v>
      </c>
      <c r="F51" s="4">
        <f t="shared" si="9"/>
        <v>42660</v>
      </c>
      <c r="G51" s="4">
        <f t="shared" si="9"/>
        <v>6693</v>
      </c>
      <c r="H51" s="4">
        <f t="shared" si="9"/>
        <v>731</v>
      </c>
      <c r="I51" s="4">
        <f t="shared" si="9"/>
        <v>0</v>
      </c>
      <c r="J51" s="6">
        <f t="shared" si="9"/>
        <v>0</v>
      </c>
      <c r="K51" s="4">
        <f t="shared" si="9"/>
        <v>2650</v>
      </c>
      <c r="L51" s="4">
        <f t="shared" si="9"/>
        <v>271620</v>
      </c>
      <c r="M51" s="4">
        <f t="shared" si="9"/>
        <v>15960</v>
      </c>
      <c r="N51" s="4">
        <f>40*18+150*2+5*14*18+M51</f>
        <v>18240</v>
      </c>
    </row>
    <row r="52" spans="1:14" ht="12.75">
      <c r="A52" s="349"/>
      <c r="B52" s="337">
        <v>12</v>
      </c>
      <c r="C52" s="2" t="s">
        <v>28</v>
      </c>
      <c r="D52" s="2">
        <v>18</v>
      </c>
      <c r="E52" s="2">
        <f>255*D52</f>
        <v>4590</v>
      </c>
      <c r="F52" s="2">
        <f>210*D52</f>
        <v>3780</v>
      </c>
      <c r="G52" s="2">
        <f>60*D52</f>
        <v>1080</v>
      </c>
      <c r="H52" s="2">
        <v>0</v>
      </c>
      <c r="I52" s="2">
        <v>0</v>
      </c>
      <c r="J52" s="6">
        <v>0</v>
      </c>
      <c r="K52" s="2">
        <v>0</v>
      </c>
      <c r="L52" s="2">
        <f>40*D52*30</f>
        <v>21600</v>
      </c>
      <c r="M52" s="2">
        <f>120*D52</f>
        <v>2160</v>
      </c>
      <c r="N52" s="2"/>
    </row>
    <row r="53" spans="1:14" ht="12.75">
      <c r="A53" s="349"/>
      <c r="B53" s="337"/>
      <c r="C53" s="2" t="s">
        <v>29</v>
      </c>
      <c r="D53" s="2">
        <v>54</v>
      </c>
      <c r="E53" s="3">
        <f>20*D53*30</f>
        <v>32400</v>
      </c>
      <c r="F53" s="2">
        <f>15*D53*30</f>
        <v>24300</v>
      </c>
      <c r="G53" s="2">
        <f>2*D53*30</f>
        <v>3240</v>
      </c>
      <c r="H53" s="3">
        <v>0</v>
      </c>
      <c r="I53" s="2">
        <v>0</v>
      </c>
      <c r="J53" s="6">
        <v>0</v>
      </c>
      <c r="K53" s="3">
        <v>0</v>
      </c>
      <c r="L53" s="2">
        <f>100*D53*30</f>
        <v>162000</v>
      </c>
      <c r="M53" s="2">
        <f>140*D53</f>
        <v>7560</v>
      </c>
      <c r="N53" s="2"/>
    </row>
    <row r="54" spans="1:14" ht="12.75">
      <c r="A54" s="349"/>
      <c r="B54" s="337"/>
      <c r="C54" s="2" t="s">
        <v>36</v>
      </c>
      <c r="D54" s="2">
        <v>36</v>
      </c>
      <c r="E54" s="2">
        <f>15*D54*30</f>
        <v>16200</v>
      </c>
      <c r="F54" s="2">
        <f>20*D54*30</f>
        <v>21600</v>
      </c>
      <c r="G54" s="2">
        <f>2*D54*30</f>
        <v>2160</v>
      </c>
      <c r="H54" s="2">
        <v>0</v>
      </c>
      <c r="I54" s="2">
        <v>0</v>
      </c>
      <c r="J54" s="6">
        <v>0</v>
      </c>
      <c r="K54" s="2">
        <v>0</v>
      </c>
      <c r="L54" s="2">
        <f>100*D54*30</f>
        <v>108000</v>
      </c>
      <c r="M54" s="2">
        <f>140*D54</f>
        <v>5040</v>
      </c>
      <c r="N54" s="2"/>
    </row>
    <row r="55" spans="1:14" ht="12.75">
      <c r="A55" s="349"/>
      <c r="B55" s="337"/>
      <c r="C55" s="2" t="s">
        <v>30</v>
      </c>
      <c r="D55" s="2">
        <v>14</v>
      </c>
      <c r="E55" s="3">
        <f>3*D55</f>
        <v>42</v>
      </c>
      <c r="F55" s="2">
        <v>0</v>
      </c>
      <c r="G55" s="2">
        <f>6*D55</f>
        <v>84</v>
      </c>
      <c r="H55" s="2">
        <f>10*D55</f>
        <v>140</v>
      </c>
      <c r="I55" s="2">
        <v>0</v>
      </c>
      <c r="J55" s="6">
        <v>0</v>
      </c>
      <c r="K55" s="2">
        <f>170*D55</f>
        <v>2380</v>
      </c>
      <c r="L55" s="2">
        <f>18*D55*30</f>
        <v>7560</v>
      </c>
      <c r="M55" s="2">
        <f>60*18</f>
        <v>1080</v>
      </c>
      <c r="N55" s="2"/>
    </row>
    <row r="56" spans="1:14" ht="12.75">
      <c r="A56" s="349"/>
      <c r="B56" s="337"/>
      <c r="C56" s="2" t="s">
        <v>32</v>
      </c>
      <c r="D56" s="2">
        <v>3</v>
      </c>
      <c r="E56" s="2">
        <f>14*D56</f>
        <v>42</v>
      </c>
      <c r="F56" s="2">
        <v>0</v>
      </c>
      <c r="G56" s="2">
        <f>9*D56</f>
        <v>27</v>
      </c>
      <c r="H56" s="2">
        <f>45*D56</f>
        <v>135</v>
      </c>
      <c r="I56" s="2">
        <v>0</v>
      </c>
      <c r="J56" s="6">
        <v>0</v>
      </c>
      <c r="K56" s="2">
        <f>90*D56</f>
        <v>270</v>
      </c>
      <c r="L56" s="2">
        <f>18*D56*30</f>
        <v>1620</v>
      </c>
      <c r="M56" s="2">
        <f>75+1.5*30*D56</f>
        <v>210</v>
      </c>
      <c r="N56" s="2"/>
    </row>
    <row r="57" spans="1:14" ht="12.75">
      <c r="A57" s="349"/>
      <c r="B57" s="337"/>
      <c r="C57" s="2" t="s">
        <v>34</v>
      </c>
      <c r="D57" s="2">
        <v>3</v>
      </c>
      <c r="E57" s="2">
        <f>15*D57</f>
        <v>45</v>
      </c>
      <c r="F57" s="2">
        <v>0</v>
      </c>
      <c r="G57" s="2">
        <f>13*D57</f>
        <v>39</v>
      </c>
      <c r="H57" s="2">
        <f>72*D57</f>
        <v>216</v>
      </c>
      <c r="I57" s="2">
        <v>0</v>
      </c>
      <c r="J57" s="6">
        <v>0</v>
      </c>
      <c r="K57" s="2">
        <v>0</v>
      </c>
      <c r="L57" s="2">
        <f>18*D57*30</f>
        <v>1620</v>
      </c>
      <c r="M57" s="2">
        <f>1.5*30*D57</f>
        <v>135</v>
      </c>
      <c r="N57" s="2"/>
    </row>
    <row r="58" spans="1:14" ht="12.75">
      <c r="A58" s="349"/>
      <c r="B58" s="337"/>
      <c r="C58" s="2" t="s">
        <v>37</v>
      </c>
      <c r="D58" s="2">
        <v>3</v>
      </c>
      <c r="E58" s="2">
        <f>21*D58</f>
        <v>63</v>
      </c>
      <c r="F58" s="3">
        <v>0</v>
      </c>
      <c r="G58" s="2">
        <f>21*D58</f>
        <v>63</v>
      </c>
      <c r="H58" s="2">
        <f>80*D58</f>
        <v>240</v>
      </c>
      <c r="I58" s="3">
        <v>0</v>
      </c>
      <c r="J58" s="6">
        <v>0</v>
      </c>
      <c r="K58" s="3">
        <v>0</v>
      </c>
      <c r="L58" s="2">
        <f>18*D58*30</f>
        <v>1620</v>
      </c>
      <c r="M58" s="2">
        <f>1.5*30*D58</f>
        <v>135</v>
      </c>
      <c r="N58" s="2"/>
    </row>
    <row r="59" spans="1:14" ht="12.75">
      <c r="A59" s="349"/>
      <c r="B59" s="337"/>
      <c r="C59" s="2" t="s">
        <v>39</v>
      </c>
      <c r="D59" s="2">
        <v>3</v>
      </c>
      <c r="E59" s="2">
        <f>24*D59</f>
        <v>72</v>
      </c>
      <c r="F59" s="2">
        <f>20*D59</f>
        <v>60</v>
      </c>
      <c r="G59" s="2">
        <f>25*D59</f>
        <v>75</v>
      </c>
      <c r="H59" s="2">
        <f>83*D59</f>
        <v>249</v>
      </c>
      <c r="I59" s="2">
        <v>0</v>
      </c>
      <c r="J59" s="6">
        <v>0</v>
      </c>
      <c r="K59" s="2">
        <v>0</v>
      </c>
      <c r="L59" s="2">
        <f>18*D59*30</f>
        <v>1620</v>
      </c>
      <c r="M59" s="2">
        <f>1.5*30*D59</f>
        <v>135</v>
      </c>
      <c r="N59" s="2"/>
    </row>
    <row r="60" spans="1:14" ht="12.75">
      <c r="A60" s="321"/>
      <c r="B60" s="332" t="s">
        <v>40</v>
      </c>
      <c r="C60" s="333"/>
      <c r="D60" s="4">
        <f aca="true" t="shared" si="10" ref="D60:M60">SUM(D52:D59)</f>
        <v>134</v>
      </c>
      <c r="E60" s="4">
        <f t="shared" si="10"/>
        <v>53454</v>
      </c>
      <c r="F60" s="4">
        <f t="shared" si="10"/>
        <v>49740</v>
      </c>
      <c r="G60" s="4">
        <f t="shared" si="10"/>
        <v>6768</v>
      </c>
      <c r="H60" s="4">
        <f t="shared" si="10"/>
        <v>980</v>
      </c>
      <c r="I60" s="4">
        <f t="shared" si="10"/>
        <v>0</v>
      </c>
      <c r="J60" s="6">
        <f t="shared" si="10"/>
        <v>0</v>
      </c>
      <c r="K60" s="4">
        <f t="shared" si="10"/>
        <v>2650</v>
      </c>
      <c r="L60" s="4">
        <f t="shared" si="10"/>
        <v>305640</v>
      </c>
      <c r="M60" s="4">
        <f t="shared" si="10"/>
        <v>16455</v>
      </c>
      <c r="N60" s="4">
        <f>40*18+150*2+5*14*18+M60</f>
        <v>18735</v>
      </c>
    </row>
    <row r="61" spans="1:15" ht="12.75">
      <c r="A61" s="357" t="s">
        <v>41</v>
      </c>
      <c r="B61" s="358"/>
      <c r="C61" s="359"/>
      <c r="D61" s="5"/>
      <c r="E61" s="5">
        <f>E60+E51+E43+E36+E30+E24+E20+E16+E12+E9+E6+E5</f>
        <v>361161</v>
      </c>
      <c r="F61" s="5">
        <f aca="true" t="shared" si="11" ref="F61:N61">F60+F51+F43+F36+F30+F24+F20+F16+F12+F9+F6+F5</f>
        <v>309480</v>
      </c>
      <c r="G61" s="5">
        <f t="shared" si="11"/>
        <v>70506</v>
      </c>
      <c r="H61" s="5">
        <f t="shared" si="11"/>
        <v>2617</v>
      </c>
      <c r="I61" s="5">
        <f t="shared" si="11"/>
        <v>35316</v>
      </c>
      <c r="J61" s="6">
        <f t="shared" si="11"/>
        <v>0</v>
      </c>
      <c r="K61" s="5">
        <f t="shared" si="11"/>
        <v>12980</v>
      </c>
      <c r="L61" s="5">
        <f t="shared" si="11"/>
        <v>1836000</v>
      </c>
      <c r="M61" s="5">
        <f t="shared" si="11"/>
        <v>142150</v>
      </c>
      <c r="N61" s="5">
        <f t="shared" si="11"/>
        <v>153550</v>
      </c>
      <c r="O61" s="12"/>
    </row>
    <row r="62" spans="1:14" ht="12.75">
      <c r="A62" s="322">
        <v>2</v>
      </c>
      <c r="B62" s="337">
        <v>1</v>
      </c>
      <c r="C62" s="2" t="s">
        <v>29</v>
      </c>
      <c r="D62" s="2">
        <v>54</v>
      </c>
      <c r="E62" s="3">
        <f>20*D62*30</f>
        <v>32400</v>
      </c>
      <c r="F62" s="2">
        <f>15*D62*30</f>
        <v>24300</v>
      </c>
      <c r="G62" s="2">
        <f>2*D62*30</f>
        <v>3240</v>
      </c>
      <c r="H62" s="3">
        <v>0</v>
      </c>
      <c r="I62" s="2">
        <v>0</v>
      </c>
      <c r="J62" s="6">
        <v>0</v>
      </c>
      <c r="K62" s="3">
        <v>0</v>
      </c>
      <c r="L62" s="2">
        <f>100*D62*30</f>
        <v>162000</v>
      </c>
      <c r="M62" s="2">
        <f>140*D62</f>
        <v>7560</v>
      </c>
      <c r="N62" s="2"/>
    </row>
    <row r="63" spans="1:14" ht="12.75">
      <c r="A63" s="323"/>
      <c r="B63" s="337"/>
      <c r="C63" s="2" t="s">
        <v>36</v>
      </c>
      <c r="D63" s="2">
        <v>54</v>
      </c>
      <c r="E63" s="2">
        <f>15*D63*30</f>
        <v>24300</v>
      </c>
      <c r="F63" s="2">
        <f>20*D63*30</f>
        <v>32400</v>
      </c>
      <c r="G63" s="2">
        <f>2*D63*30</f>
        <v>3240</v>
      </c>
      <c r="H63" s="2">
        <v>0</v>
      </c>
      <c r="I63" s="2">
        <v>0</v>
      </c>
      <c r="J63" s="6">
        <v>0</v>
      </c>
      <c r="K63" s="2">
        <v>0</v>
      </c>
      <c r="L63" s="2">
        <f>100*D63*30</f>
        <v>162000</v>
      </c>
      <c r="M63" s="2">
        <f>140*D63</f>
        <v>7560</v>
      </c>
      <c r="N63" s="2"/>
    </row>
    <row r="64" spans="1:14" ht="12.75">
      <c r="A64" s="323"/>
      <c r="B64" s="337"/>
      <c r="C64" s="2" t="s">
        <v>30</v>
      </c>
      <c r="D64" s="2">
        <v>14</v>
      </c>
      <c r="E64" s="3">
        <f>3*D64</f>
        <v>42</v>
      </c>
      <c r="F64" s="2">
        <v>0</v>
      </c>
      <c r="G64" s="2">
        <f>6*D64</f>
        <v>84</v>
      </c>
      <c r="H64" s="2">
        <f>10*D64</f>
        <v>140</v>
      </c>
      <c r="I64" s="2">
        <v>0</v>
      </c>
      <c r="J64" s="6">
        <v>0</v>
      </c>
      <c r="K64" s="2">
        <f>170*D64</f>
        <v>2380</v>
      </c>
      <c r="L64" s="2">
        <f aca="true" t="shared" si="12" ref="L64:L69">18*D64*30</f>
        <v>7560</v>
      </c>
      <c r="M64" s="2">
        <f>18*60</f>
        <v>1080</v>
      </c>
      <c r="N64" s="2"/>
    </row>
    <row r="65" spans="1:14" ht="12.75">
      <c r="A65" s="323"/>
      <c r="B65" s="337"/>
      <c r="C65" s="2" t="s">
        <v>32</v>
      </c>
      <c r="D65" s="2">
        <v>3</v>
      </c>
      <c r="E65" s="2">
        <f>14*D65</f>
        <v>42</v>
      </c>
      <c r="F65" s="2">
        <v>0</v>
      </c>
      <c r="G65" s="2">
        <f>9*D65</f>
        <v>27</v>
      </c>
      <c r="H65" s="2">
        <f>45*D65</f>
        <v>135</v>
      </c>
      <c r="I65" s="2">
        <v>0</v>
      </c>
      <c r="J65" s="6">
        <v>0</v>
      </c>
      <c r="K65" s="2">
        <f>90*D65</f>
        <v>270</v>
      </c>
      <c r="L65" s="2">
        <f t="shared" si="12"/>
        <v>1620</v>
      </c>
      <c r="M65" s="2">
        <f>75+1.5*30*D65</f>
        <v>210</v>
      </c>
      <c r="N65" s="2"/>
    </row>
    <row r="66" spans="1:14" ht="12.75">
      <c r="A66" s="323"/>
      <c r="B66" s="337"/>
      <c r="C66" s="2" t="s">
        <v>34</v>
      </c>
      <c r="D66" s="2">
        <v>3</v>
      </c>
      <c r="E66" s="2">
        <f>15*D66</f>
        <v>45</v>
      </c>
      <c r="F66" s="2">
        <v>0</v>
      </c>
      <c r="G66" s="2">
        <f>13*D66</f>
        <v>39</v>
      </c>
      <c r="H66" s="2">
        <f>72*D66</f>
        <v>216</v>
      </c>
      <c r="I66" s="2">
        <v>0</v>
      </c>
      <c r="J66" s="6">
        <v>0</v>
      </c>
      <c r="K66" s="2">
        <v>0</v>
      </c>
      <c r="L66" s="2">
        <f t="shared" si="12"/>
        <v>1620</v>
      </c>
      <c r="M66" s="2">
        <f>1.5*30*D66</f>
        <v>135</v>
      </c>
      <c r="N66" s="2"/>
    </row>
    <row r="67" spans="1:14" ht="12.75">
      <c r="A67" s="323"/>
      <c r="B67" s="337"/>
      <c r="C67" s="2" t="s">
        <v>37</v>
      </c>
      <c r="D67" s="2">
        <v>3</v>
      </c>
      <c r="E67" s="2">
        <f>21*D67</f>
        <v>63</v>
      </c>
      <c r="F67" s="3">
        <v>0</v>
      </c>
      <c r="G67" s="2">
        <f>21*D67</f>
        <v>63</v>
      </c>
      <c r="H67" s="2">
        <f>80*D67</f>
        <v>240</v>
      </c>
      <c r="I67" s="3">
        <v>0</v>
      </c>
      <c r="J67" s="6">
        <v>0</v>
      </c>
      <c r="K67" s="3">
        <v>0</v>
      </c>
      <c r="L67" s="2">
        <f t="shared" si="12"/>
        <v>1620</v>
      </c>
      <c r="M67" s="2">
        <f>1.5*30*D67</f>
        <v>135</v>
      </c>
      <c r="N67" s="2"/>
    </row>
    <row r="68" spans="1:14" ht="12.75">
      <c r="A68" s="323"/>
      <c r="B68" s="337"/>
      <c r="C68" s="2" t="s">
        <v>39</v>
      </c>
      <c r="D68" s="2">
        <v>3</v>
      </c>
      <c r="E68" s="2">
        <f>24*D68</f>
        <v>72</v>
      </c>
      <c r="F68" s="2">
        <f>20*D68</f>
        <v>60</v>
      </c>
      <c r="G68" s="2">
        <f>25*D68</f>
        <v>75</v>
      </c>
      <c r="H68" s="2">
        <f>83*D68</f>
        <v>249</v>
      </c>
      <c r="I68" s="2">
        <v>0</v>
      </c>
      <c r="J68" s="6">
        <v>0</v>
      </c>
      <c r="K68" s="2">
        <v>0</v>
      </c>
      <c r="L68" s="2">
        <f t="shared" si="12"/>
        <v>1620</v>
      </c>
      <c r="M68" s="2">
        <f>1.5*30*D68</f>
        <v>135</v>
      </c>
      <c r="N68" s="2"/>
    </row>
    <row r="69" spans="1:14" ht="12.75">
      <c r="A69" s="323"/>
      <c r="B69" s="337"/>
      <c r="C69" s="2" t="s">
        <v>42</v>
      </c>
      <c r="D69" s="2">
        <v>3</v>
      </c>
      <c r="E69" s="2">
        <f>58*D69</f>
        <v>174</v>
      </c>
      <c r="F69" s="2">
        <f>44*D69</f>
        <v>132</v>
      </c>
      <c r="G69" s="2">
        <f>135*D69</f>
        <v>405</v>
      </c>
      <c r="H69" s="2">
        <f>78*D69</f>
        <v>234</v>
      </c>
      <c r="I69" s="2">
        <v>0</v>
      </c>
      <c r="J69" s="6">
        <v>0</v>
      </c>
      <c r="K69" s="2">
        <v>0</v>
      </c>
      <c r="L69" s="2">
        <f t="shared" si="12"/>
        <v>1620</v>
      </c>
      <c r="M69" s="2">
        <f>100+1.5*30*D69</f>
        <v>235</v>
      </c>
      <c r="N69" s="2"/>
    </row>
    <row r="70" spans="1:15" ht="12.75">
      <c r="A70" s="323"/>
      <c r="B70" s="332" t="s">
        <v>43</v>
      </c>
      <c r="C70" s="333"/>
      <c r="D70" s="4">
        <f aca="true" t="shared" si="13" ref="D70:M70">SUM(D62:D69)</f>
        <v>137</v>
      </c>
      <c r="E70" s="4">
        <f t="shared" si="13"/>
        <v>57138</v>
      </c>
      <c r="F70" s="4">
        <f t="shared" si="13"/>
        <v>56892</v>
      </c>
      <c r="G70" s="4">
        <f t="shared" si="13"/>
        <v>7173</v>
      </c>
      <c r="H70" s="4">
        <f t="shared" si="13"/>
        <v>1214</v>
      </c>
      <c r="I70" s="4">
        <f t="shared" si="13"/>
        <v>0</v>
      </c>
      <c r="J70" s="6">
        <f t="shared" si="13"/>
        <v>0</v>
      </c>
      <c r="K70" s="4">
        <f t="shared" si="13"/>
        <v>2650</v>
      </c>
      <c r="L70" s="4">
        <f t="shared" si="13"/>
        <v>339660</v>
      </c>
      <c r="M70" s="4">
        <f t="shared" si="13"/>
        <v>17050</v>
      </c>
      <c r="N70" s="4">
        <f>40*18+150*2+5*14*18+M70</f>
        <v>19330</v>
      </c>
      <c r="O70" s="12"/>
    </row>
    <row r="71" spans="1:14" ht="12.75">
      <c r="A71" s="323"/>
      <c r="B71" s="337">
        <v>2</v>
      </c>
      <c r="C71" s="2" t="s">
        <v>29</v>
      </c>
      <c r="D71" s="2">
        <v>36</v>
      </c>
      <c r="E71" s="3">
        <f>20*D71*30</f>
        <v>21600</v>
      </c>
      <c r="F71" s="2">
        <f>15*D71*30</f>
        <v>16200</v>
      </c>
      <c r="G71" s="2">
        <f>2*D71*30</f>
        <v>2160</v>
      </c>
      <c r="H71" s="3">
        <v>0</v>
      </c>
      <c r="I71" s="2">
        <v>0</v>
      </c>
      <c r="J71" s="6">
        <v>0</v>
      </c>
      <c r="K71" s="3">
        <v>0</v>
      </c>
      <c r="L71" s="2">
        <f>100*D71*30</f>
        <v>108000</v>
      </c>
      <c r="M71" s="2">
        <f>140*D71</f>
        <v>5040</v>
      </c>
      <c r="N71" s="2"/>
    </row>
    <row r="72" spans="1:14" ht="12.75">
      <c r="A72" s="323"/>
      <c r="B72" s="337"/>
      <c r="C72" s="2" t="s">
        <v>36</v>
      </c>
      <c r="D72" s="2">
        <v>72</v>
      </c>
      <c r="E72" s="2">
        <f>15*D72*30</f>
        <v>32400</v>
      </c>
      <c r="F72" s="2">
        <f>20*D72*30</f>
        <v>43200</v>
      </c>
      <c r="G72" s="2">
        <f>2*D72*30</f>
        <v>4320</v>
      </c>
      <c r="H72" s="2">
        <v>0</v>
      </c>
      <c r="I72" s="2">
        <v>0</v>
      </c>
      <c r="J72" s="6">
        <v>0</v>
      </c>
      <c r="K72" s="2">
        <v>0</v>
      </c>
      <c r="L72" s="2">
        <f>100*D72*30</f>
        <v>216000</v>
      </c>
      <c r="M72" s="2">
        <f>140*D72</f>
        <v>10080</v>
      </c>
      <c r="N72" s="2"/>
    </row>
    <row r="73" spans="1:14" ht="12.75">
      <c r="A73" s="323"/>
      <c r="B73" s="337"/>
      <c r="C73" s="2" t="s">
        <v>30</v>
      </c>
      <c r="D73" s="2">
        <v>0</v>
      </c>
      <c r="E73" s="3">
        <f>3*D73</f>
        <v>0</v>
      </c>
      <c r="F73" s="2">
        <v>0</v>
      </c>
      <c r="G73" s="2">
        <f>6*D73</f>
        <v>0</v>
      </c>
      <c r="H73" s="2">
        <f>10*D73</f>
        <v>0</v>
      </c>
      <c r="I73" s="2">
        <v>0</v>
      </c>
      <c r="J73" s="6">
        <v>0</v>
      </c>
      <c r="K73" s="2">
        <f>170*D73</f>
        <v>0</v>
      </c>
      <c r="L73" s="2">
        <f aca="true" t="shared" si="14" ref="L73:L78">18*D73*30</f>
        <v>0</v>
      </c>
      <c r="M73" s="2">
        <v>0</v>
      </c>
      <c r="N73" s="2"/>
    </row>
    <row r="74" spans="1:14" ht="12.75">
      <c r="A74" s="323"/>
      <c r="B74" s="337"/>
      <c r="C74" s="2" t="s">
        <v>32</v>
      </c>
      <c r="D74" s="2">
        <v>3</v>
      </c>
      <c r="E74" s="2">
        <f>14*D74</f>
        <v>42</v>
      </c>
      <c r="F74" s="2">
        <v>0</v>
      </c>
      <c r="G74" s="2">
        <f>9*D74</f>
        <v>27</v>
      </c>
      <c r="H74" s="2">
        <f>45*D74</f>
        <v>135</v>
      </c>
      <c r="I74" s="2">
        <v>0</v>
      </c>
      <c r="J74" s="6">
        <v>0</v>
      </c>
      <c r="K74" s="2">
        <f>90*D74</f>
        <v>270</v>
      </c>
      <c r="L74" s="2">
        <f t="shared" si="14"/>
        <v>1620</v>
      </c>
      <c r="M74" s="2">
        <f>75+1.5*30*D74</f>
        <v>210</v>
      </c>
      <c r="N74" s="2"/>
    </row>
    <row r="75" spans="1:14" ht="12.75">
      <c r="A75" s="323"/>
      <c r="B75" s="337"/>
      <c r="C75" s="2" t="s">
        <v>34</v>
      </c>
      <c r="D75" s="2">
        <v>3</v>
      </c>
      <c r="E75" s="2">
        <f>15*D75</f>
        <v>45</v>
      </c>
      <c r="F75" s="2">
        <v>0</v>
      </c>
      <c r="G75" s="2">
        <f>13*D75</f>
        <v>39</v>
      </c>
      <c r="H75" s="2">
        <f>72*D75</f>
        <v>216</v>
      </c>
      <c r="I75" s="2">
        <v>0</v>
      </c>
      <c r="J75" s="6">
        <v>0</v>
      </c>
      <c r="K75" s="2">
        <v>0</v>
      </c>
      <c r="L75" s="2">
        <f t="shared" si="14"/>
        <v>1620</v>
      </c>
      <c r="M75" s="2">
        <f>1.5*30*D75</f>
        <v>135</v>
      </c>
      <c r="N75" s="2"/>
    </row>
    <row r="76" spans="1:14" ht="12.75">
      <c r="A76" s="323"/>
      <c r="B76" s="337"/>
      <c r="C76" s="2" t="s">
        <v>37</v>
      </c>
      <c r="D76" s="2">
        <v>3</v>
      </c>
      <c r="E76" s="2">
        <f>21*D76</f>
        <v>63</v>
      </c>
      <c r="F76" s="3">
        <v>0</v>
      </c>
      <c r="G76" s="2">
        <f>21*D76</f>
        <v>63</v>
      </c>
      <c r="H76" s="2">
        <f>80*D76</f>
        <v>240</v>
      </c>
      <c r="I76" s="3">
        <v>0</v>
      </c>
      <c r="J76" s="6">
        <v>0</v>
      </c>
      <c r="K76" s="3">
        <v>0</v>
      </c>
      <c r="L76" s="2">
        <f t="shared" si="14"/>
        <v>1620</v>
      </c>
      <c r="M76" s="2">
        <f>1.5*30*D76</f>
        <v>135</v>
      </c>
      <c r="N76" s="2"/>
    </row>
    <row r="77" spans="1:14" ht="12.75">
      <c r="A77" s="323"/>
      <c r="B77" s="337"/>
      <c r="C77" s="2" t="s">
        <v>39</v>
      </c>
      <c r="D77" s="2">
        <v>3</v>
      </c>
      <c r="E77" s="2">
        <f>24*D77</f>
        <v>72</v>
      </c>
      <c r="F77" s="2">
        <f>20*D77</f>
        <v>60</v>
      </c>
      <c r="G77" s="2">
        <f>25*D77</f>
        <v>75</v>
      </c>
      <c r="H77" s="2">
        <f>83*D77</f>
        <v>249</v>
      </c>
      <c r="I77" s="2">
        <v>0</v>
      </c>
      <c r="J77" s="6">
        <v>0</v>
      </c>
      <c r="K77" s="2">
        <v>0</v>
      </c>
      <c r="L77" s="2">
        <f t="shared" si="14"/>
        <v>1620</v>
      </c>
      <c r="M77" s="2">
        <f>1.5*30*D77</f>
        <v>135</v>
      </c>
      <c r="N77" s="2"/>
    </row>
    <row r="78" spans="1:14" ht="12.75">
      <c r="A78" s="323"/>
      <c r="B78" s="337"/>
      <c r="C78" s="2" t="s">
        <v>42</v>
      </c>
      <c r="D78" s="2">
        <v>3</v>
      </c>
      <c r="E78" s="2">
        <f>58*D78</f>
        <v>174</v>
      </c>
      <c r="F78" s="2">
        <f>44*D78</f>
        <v>132</v>
      </c>
      <c r="G78" s="2">
        <f>135*D78</f>
        <v>405</v>
      </c>
      <c r="H78" s="2">
        <f>78*D78</f>
        <v>234</v>
      </c>
      <c r="I78" s="2">
        <v>0</v>
      </c>
      <c r="J78" s="6">
        <v>0</v>
      </c>
      <c r="K78" s="2">
        <v>0</v>
      </c>
      <c r="L78" s="2">
        <f t="shared" si="14"/>
        <v>1620</v>
      </c>
      <c r="M78" s="2">
        <f>1.5*30*D78</f>
        <v>135</v>
      </c>
      <c r="N78" s="2"/>
    </row>
    <row r="79" spans="1:14" ht="12.75">
      <c r="A79" s="323"/>
      <c r="B79" s="337"/>
      <c r="C79" s="2" t="s">
        <v>44</v>
      </c>
      <c r="D79" s="2">
        <v>3</v>
      </c>
      <c r="E79" s="2">
        <f>165*D79</f>
        <v>495</v>
      </c>
      <c r="F79" s="2">
        <f>105*D79</f>
        <v>315</v>
      </c>
      <c r="G79" s="2">
        <f>45*D79</f>
        <v>135</v>
      </c>
      <c r="H79" s="2">
        <v>0</v>
      </c>
      <c r="I79" s="2">
        <f>75*D79</f>
        <v>225</v>
      </c>
      <c r="J79" s="6">
        <v>0</v>
      </c>
      <c r="K79" s="2">
        <v>0</v>
      </c>
      <c r="L79" s="2">
        <f>24*D79*30</f>
        <v>2160</v>
      </c>
      <c r="M79" s="2">
        <f>3*30*D79</f>
        <v>270</v>
      </c>
      <c r="N79" s="2"/>
    </row>
    <row r="80" spans="1:15" ht="12.75">
      <c r="A80" s="323"/>
      <c r="B80" s="332" t="s">
        <v>45</v>
      </c>
      <c r="C80" s="333"/>
      <c r="D80" s="4">
        <f aca="true" t="shared" si="15" ref="D80:M80">SUM(D71:D79)</f>
        <v>126</v>
      </c>
      <c r="E80" s="4">
        <f t="shared" si="15"/>
        <v>54891</v>
      </c>
      <c r="F80" s="4">
        <f t="shared" si="15"/>
        <v>59907</v>
      </c>
      <c r="G80" s="4">
        <f t="shared" si="15"/>
        <v>7224</v>
      </c>
      <c r="H80" s="4">
        <f t="shared" si="15"/>
        <v>1074</v>
      </c>
      <c r="I80" s="4">
        <f t="shared" si="15"/>
        <v>225</v>
      </c>
      <c r="J80" s="6">
        <f t="shared" si="15"/>
        <v>0</v>
      </c>
      <c r="K80" s="4">
        <f t="shared" si="15"/>
        <v>270</v>
      </c>
      <c r="L80" s="4">
        <f t="shared" si="15"/>
        <v>334260</v>
      </c>
      <c r="M80" s="4">
        <f t="shared" si="15"/>
        <v>16140</v>
      </c>
      <c r="N80" s="4">
        <f>M80</f>
        <v>16140</v>
      </c>
      <c r="O80" s="12"/>
    </row>
    <row r="81" spans="1:14" ht="12.75">
      <c r="A81" s="323"/>
      <c r="B81" s="337">
        <v>3</v>
      </c>
      <c r="C81" s="2" t="s">
        <v>29</v>
      </c>
      <c r="D81" s="2">
        <v>24</v>
      </c>
      <c r="E81" s="3">
        <f>20*D81*30</f>
        <v>14400</v>
      </c>
      <c r="F81" s="2">
        <f>15*D81*30</f>
        <v>10800</v>
      </c>
      <c r="G81" s="2">
        <f>2*D81*30</f>
        <v>1440</v>
      </c>
      <c r="H81" s="3">
        <v>0</v>
      </c>
      <c r="I81" s="2">
        <v>0</v>
      </c>
      <c r="J81" s="6">
        <v>0</v>
      </c>
      <c r="K81" s="3">
        <v>0</v>
      </c>
      <c r="L81" s="2">
        <f>100*D81*30</f>
        <v>72000</v>
      </c>
      <c r="M81" s="2">
        <f>140*D81</f>
        <v>3360</v>
      </c>
      <c r="N81" s="2"/>
    </row>
    <row r="82" spans="1:14" ht="12.75">
      <c r="A82" s="323"/>
      <c r="B82" s="337"/>
      <c r="C82" s="2" t="s">
        <v>36</v>
      </c>
      <c r="D82" s="2">
        <v>84</v>
      </c>
      <c r="E82" s="2">
        <f>15*D82*30</f>
        <v>37800</v>
      </c>
      <c r="F82" s="2">
        <f>20*D82*30</f>
        <v>50400</v>
      </c>
      <c r="G82" s="2">
        <f>2*D82*30</f>
        <v>5040</v>
      </c>
      <c r="H82" s="2">
        <v>0</v>
      </c>
      <c r="I82" s="2">
        <v>0</v>
      </c>
      <c r="J82" s="6">
        <v>0</v>
      </c>
      <c r="K82" s="2">
        <v>0</v>
      </c>
      <c r="L82" s="2">
        <f>100*D82*30</f>
        <v>252000</v>
      </c>
      <c r="M82" s="2">
        <f>140*D82</f>
        <v>11760</v>
      </c>
      <c r="N82" s="2"/>
    </row>
    <row r="83" spans="1:14" ht="12.75">
      <c r="A83" s="323"/>
      <c r="B83" s="337"/>
      <c r="C83" s="2" t="s">
        <v>30</v>
      </c>
      <c r="D83" s="2">
        <v>0</v>
      </c>
      <c r="E83" s="3">
        <f>3*D83</f>
        <v>0</v>
      </c>
      <c r="F83" s="2">
        <v>0</v>
      </c>
      <c r="G83" s="2">
        <f>6*D83</f>
        <v>0</v>
      </c>
      <c r="H83" s="2">
        <f>10*D83</f>
        <v>0</v>
      </c>
      <c r="I83" s="2">
        <v>0</v>
      </c>
      <c r="J83" s="6">
        <v>0</v>
      </c>
      <c r="K83" s="2">
        <f>170*D83</f>
        <v>0</v>
      </c>
      <c r="L83" s="2">
        <f aca="true" t="shared" si="16" ref="L83:L88">18*D83*30</f>
        <v>0</v>
      </c>
      <c r="M83" s="2">
        <v>0</v>
      </c>
      <c r="N83" s="2"/>
    </row>
    <row r="84" spans="1:14" ht="12.75">
      <c r="A84" s="323"/>
      <c r="B84" s="337"/>
      <c r="C84" s="2" t="s">
        <v>32</v>
      </c>
      <c r="D84" s="2">
        <v>0</v>
      </c>
      <c r="E84" s="2">
        <f>14*D84</f>
        <v>0</v>
      </c>
      <c r="F84" s="2">
        <v>0</v>
      </c>
      <c r="G84" s="2">
        <f>9*D84</f>
        <v>0</v>
      </c>
      <c r="H84" s="2">
        <f>45*D84</f>
        <v>0</v>
      </c>
      <c r="I84" s="2">
        <v>0</v>
      </c>
      <c r="J84" s="6">
        <v>0</v>
      </c>
      <c r="K84" s="2">
        <f>90*D84</f>
        <v>0</v>
      </c>
      <c r="L84" s="2">
        <f t="shared" si="16"/>
        <v>0</v>
      </c>
      <c r="M84" s="2">
        <v>0</v>
      </c>
      <c r="N84" s="2"/>
    </row>
    <row r="85" spans="1:14" ht="12.75">
      <c r="A85" s="323"/>
      <c r="B85" s="337"/>
      <c r="C85" s="2" t="s">
        <v>34</v>
      </c>
      <c r="D85" s="2">
        <v>3</v>
      </c>
      <c r="E85" s="2">
        <f>15*D85</f>
        <v>45</v>
      </c>
      <c r="F85" s="2">
        <v>0</v>
      </c>
      <c r="G85" s="2">
        <f>13*D85</f>
        <v>39</v>
      </c>
      <c r="H85" s="2">
        <f>72*D85</f>
        <v>216</v>
      </c>
      <c r="I85" s="2">
        <v>0</v>
      </c>
      <c r="J85" s="6">
        <v>0</v>
      </c>
      <c r="K85" s="2">
        <v>0</v>
      </c>
      <c r="L85" s="2">
        <f t="shared" si="16"/>
        <v>1620</v>
      </c>
      <c r="M85" s="2">
        <f>1.5*30*D85</f>
        <v>135</v>
      </c>
      <c r="N85" s="2"/>
    </row>
    <row r="86" spans="1:14" ht="12.75">
      <c r="A86" s="323"/>
      <c r="B86" s="337"/>
      <c r="C86" s="2" t="s">
        <v>37</v>
      </c>
      <c r="D86" s="2">
        <v>3</v>
      </c>
      <c r="E86" s="2">
        <f>21*D86</f>
        <v>63</v>
      </c>
      <c r="F86" s="3">
        <v>0</v>
      </c>
      <c r="G86" s="2">
        <f>21*D86</f>
        <v>63</v>
      </c>
      <c r="H86" s="2">
        <f>80*D86</f>
        <v>240</v>
      </c>
      <c r="I86" s="3">
        <v>0</v>
      </c>
      <c r="J86" s="6">
        <v>0</v>
      </c>
      <c r="K86" s="3">
        <v>0</v>
      </c>
      <c r="L86" s="2">
        <f t="shared" si="16"/>
        <v>1620</v>
      </c>
      <c r="M86" s="2">
        <f>1.5*30*D86</f>
        <v>135</v>
      </c>
      <c r="N86" s="2"/>
    </row>
    <row r="87" spans="1:14" ht="12.75">
      <c r="A87" s="323"/>
      <c r="B87" s="337"/>
      <c r="C87" s="2" t="s">
        <v>39</v>
      </c>
      <c r="D87" s="2">
        <v>3</v>
      </c>
      <c r="E87" s="2">
        <f>24*D87</f>
        <v>72</v>
      </c>
      <c r="F87" s="2">
        <f>20*D87</f>
        <v>60</v>
      </c>
      <c r="G87" s="2">
        <f>25*D87</f>
        <v>75</v>
      </c>
      <c r="H87" s="2">
        <f>83*D87</f>
        <v>249</v>
      </c>
      <c r="I87" s="2">
        <v>0</v>
      </c>
      <c r="J87" s="6">
        <v>0</v>
      </c>
      <c r="K87" s="2">
        <v>0</v>
      </c>
      <c r="L87" s="2">
        <f t="shared" si="16"/>
        <v>1620</v>
      </c>
      <c r="M87" s="2">
        <f>1.5*30*D87</f>
        <v>135</v>
      </c>
      <c r="N87" s="2"/>
    </row>
    <row r="88" spans="1:14" ht="12.75">
      <c r="A88" s="323"/>
      <c r="B88" s="337"/>
      <c r="C88" s="2" t="s">
        <v>42</v>
      </c>
      <c r="D88" s="2">
        <v>3</v>
      </c>
      <c r="E88" s="2">
        <f>58*D88</f>
        <v>174</v>
      </c>
      <c r="F88" s="2">
        <f>44*D88</f>
        <v>132</v>
      </c>
      <c r="G88" s="2">
        <f>135*D88</f>
        <v>405</v>
      </c>
      <c r="H88" s="2">
        <f>78*D88</f>
        <v>234</v>
      </c>
      <c r="I88" s="2">
        <v>0</v>
      </c>
      <c r="J88" s="6">
        <v>0</v>
      </c>
      <c r="K88" s="2">
        <v>0</v>
      </c>
      <c r="L88" s="2">
        <f t="shared" si="16"/>
        <v>1620</v>
      </c>
      <c r="M88" s="2">
        <f>1.5*30*D88</f>
        <v>135</v>
      </c>
      <c r="N88" s="2"/>
    </row>
    <row r="89" spans="1:14" ht="12.75">
      <c r="A89" s="323"/>
      <c r="B89" s="337"/>
      <c r="C89" s="2" t="s">
        <v>44</v>
      </c>
      <c r="D89" s="2">
        <v>3</v>
      </c>
      <c r="E89" s="2">
        <f>165*D89</f>
        <v>495</v>
      </c>
      <c r="F89" s="2">
        <f>105*D89</f>
        <v>315</v>
      </c>
      <c r="G89" s="2">
        <f>45*D89</f>
        <v>135</v>
      </c>
      <c r="H89" s="2">
        <v>0</v>
      </c>
      <c r="I89" s="2">
        <f>75*D89</f>
        <v>225</v>
      </c>
      <c r="J89" s="6">
        <v>0</v>
      </c>
      <c r="K89" s="2">
        <v>0</v>
      </c>
      <c r="L89" s="2">
        <f>24*D89*30</f>
        <v>2160</v>
      </c>
      <c r="M89" s="2">
        <f>3*30*D89</f>
        <v>270</v>
      </c>
      <c r="N89" s="2"/>
    </row>
    <row r="90" spans="1:14" ht="12.75">
      <c r="A90" s="323"/>
      <c r="B90" s="337"/>
      <c r="C90" s="2" t="s">
        <v>46</v>
      </c>
      <c r="D90" s="2">
        <v>3</v>
      </c>
      <c r="E90" s="2">
        <f>165*D90</f>
        <v>495</v>
      </c>
      <c r="F90" s="2">
        <f>105*D90</f>
        <v>315</v>
      </c>
      <c r="G90" s="2">
        <f>45*D90</f>
        <v>135</v>
      </c>
      <c r="H90" s="2">
        <v>0</v>
      </c>
      <c r="I90" s="2">
        <f>75*D90</f>
        <v>225</v>
      </c>
      <c r="J90" s="6">
        <v>0</v>
      </c>
      <c r="K90" s="2">
        <v>0</v>
      </c>
      <c r="L90" s="2">
        <f>24*D90*30</f>
        <v>2160</v>
      </c>
      <c r="M90" s="2">
        <f>100+3*30*D90</f>
        <v>370</v>
      </c>
      <c r="N90" s="2"/>
    </row>
    <row r="91" spans="1:15" ht="12.75">
      <c r="A91" s="323"/>
      <c r="B91" s="332" t="s">
        <v>19</v>
      </c>
      <c r="C91" s="333"/>
      <c r="D91" s="4">
        <f>SUM(D81:D90)</f>
        <v>126</v>
      </c>
      <c r="E91" s="4">
        <f aca="true" t="shared" si="17" ref="E91:L91">SUM(E81:E90)</f>
        <v>53544</v>
      </c>
      <c r="F91" s="4">
        <f t="shared" si="17"/>
        <v>62022</v>
      </c>
      <c r="G91" s="4">
        <f t="shared" si="17"/>
        <v>7332</v>
      </c>
      <c r="H91" s="4">
        <f t="shared" si="17"/>
        <v>939</v>
      </c>
      <c r="I91" s="4">
        <f t="shared" si="17"/>
        <v>450</v>
      </c>
      <c r="J91" s="6">
        <f t="shared" si="17"/>
        <v>0</v>
      </c>
      <c r="K91" s="4">
        <f t="shared" si="17"/>
        <v>0</v>
      </c>
      <c r="L91" s="4">
        <f t="shared" si="17"/>
        <v>334800</v>
      </c>
      <c r="M91" s="4">
        <f>SUM(M81:M90)</f>
        <v>16300</v>
      </c>
      <c r="N91" s="4">
        <f>M91</f>
        <v>16300</v>
      </c>
      <c r="O91" s="12"/>
    </row>
    <row r="92" spans="1:14" ht="12.75">
      <c r="A92" s="323"/>
      <c r="B92" s="337">
        <v>4</v>
      </c>
      <c r="C92" s="2" t="s">
        <v>29</v>
      </c>
      <c r="D92" s="2">
        <v>0</v>
      </c>
      <c r="E92" s="3">
        <f>20*D92*30</f>
        <v>0</v>
      </c>
      <c r="F92" s="2">
        <f>15*D92*30</f>
        <v>0</v>
      </c>
      <c r="G92" s="2">
        <f>2*D92*30</f>
        <v>0</v>
      </c>
      <c r="H92" s="3">
        <v>0</v>
      </c>
      <c r="I92" s="2">
        <v>0</v>
      </c>
      <c r="J92" s="6">
        <f>5*D92*30</f>
        <v>0</v>
      </c>
      <c r="K92" s="3">
        <v>0</v>
      </c>
      <c r="L92" s="2">
        <f>100*D92*30</f>
        <v>0</v>
      </c>
      <c r="M92" s="2">
        <f>140*D92</f>
        <v>0</v>
      </c>
      <c r="N92" s="2"/>
    </row>
    <row r="93" spans="1:14" ht="12.75">
      <c r="A93" s="323"/>
      <c r="B93" s="337"/>
      <c r="C93" s="2" t="s">
        <v>36</v>
      </c>
      <c r="D93" s="2">
        <v>108</v>
      </c>
      <c r="E93" s="2">
        <f>15*D93*30</f>
        <v>48600</v>
      </c>
      <c r="F93" s="2">
        <f>20*D93*30</f>
        <v>64800</v>
      </c>
      <c r="G93" s="2">
        <f>2*D93*30</f>
        <v>6480</v>
      </c>
      <c r="H93" s="2">
        <v>0</v>
      </c>
      <c r="I93" s="2">
        <v>0</v>
      </c>
      <c r="J93" s="6">
        <v>0</v>
      </c>
      <c r="K93" s="2">
        <v>0</v>
      </c>
      <c r="L93" s="2">
        <f>100*D93*30</f>
        <v>324000</v>
      </c>
      <c r="M93" s="2">
        <f>140*D93</f>
        <v>15120</v>
      </c>
      <c r="N93" s="2"/>
    </row>
    <row r="94" spans="1:14" ht="12.75">
      <c r="A94" s="323"/>
      <c r="B94" s="337"/>
      <c r="C94" s="2" t="s">
        <v>30</v>
      </c>
      <c r="D94" s="2">
        <v>0</v>
      </c>
      <c r="E94" s="3">
        <f>3*D94</f>
        <v>0</v>
      </c>
      <c r="F94" s="2">
        <v>0</v>
      </c>
      <c r="G94" s="2">
        <f>6*D94</f>
        <v>0</v>
      </c>
      <c r="H94" s="2">
        <f>10*D94</f>
        <v>0</v>
      </c>
      <c r="I94" s="2">
        <v>0</v>
      </c>
      <c r="J94" s="6">
        <v>0</v>
      </c>
      <c r="K94" s="2">
        <f>170*D94</f>
        <v>0</v>
      </c>
      <c r="L94" s="2">
        <f aca="true" t="shared" si="18" ref="L94:L99">18*D94*30</f>
        <v>0</v>
      </c>
      <c r="M94" s="2">
        <f>1.5*D94</f>
        <v>0</v>
      </c>
      <c r="N94" s="2"/>
    </row>
    <row r="95" spans="1:14" ht="12.75">
      <c r="A95" s="323"/>
      <c r="B95" s="337"/>
      <c r="C95" s="2" t="s">
        <v>32</v>
      </c>
      <c r="D95" s="2">
        <v>0</v>
      </c>
      <c r="E95" s="2">
        <f>14*D95</f>
        <v>0</v>
      </c>
      <c r="F95" s="2">
        <v>0</v>
      </c>
      <c r="G95" s="2">
        <f>9*D95</f>
        <v>0</v>
      </c>
      <c r="H95" s="2">
        <f>45*D95</f>
        <v>0</v>
      </c>
      <c r="I95" s="2">
        <v>0</v>
      </c>
      <c r="J95" s="6">
        <v>0</v>
      </c>
      <c r="K95" s="2">
        <f>90*D95</f>
        <v>0</v>
      </c>
      <c r="L95" s="2">
        <f t="shared" si="18"/>
        <v>0</v>
      </c>
      <c r="M95" s="2">
        <v>0</v>
      </c>
      <c r="N95" s="2"/>
    </row>
    <row r="96" spans="1:14" ht="12.75">
      <c r="A96" s="323"/>
      <c r="B96" s="337"/>
      <c r="C96" s="2" t="s">
        <v>34</v>
      </c>
      <c r="D96" s="2">
        <v>0</v>
      </c>
      <c r="E96" s="2">
        <f>15*D96</f>
        <v>0</v>
      </c>
      <c r="F96" s="2">
        <v>0</v>
      </c>
      <c r="G96" s="2">
        <f>13*D96</f>
        <v>0</v>
      </c>
      <c r="H96" s="2">
        <f>72*D96</f>
        <v>0</v>
      </c>
      <c r="I96" s="2">
        <v>0</v>
      </c>
      <c r="J96" s="6">
        <v>0</v>
      </c>
      <c r="K96" s="2">
        <v>0</v>
      </c>
      <c r="L96" s="2">
        <f t="shared" si="18"/>
        <v>0</v>
      </c>
      <c r="M96" s="2">
        <f>1.5*30*D96</f>
        <v>0</v>
      </c>
      <c r="N96" s="2"/>
    </row>
    <row r="97" spans="1:14" ht="12.75">
      <c r="A97" s="323"/>
      <c r="B97" s="337"/>
      <c r="C97" s="2" t="s">
        <v>37</v>
      </c>
      <c r="D97" s="2">
        <v>3</v>
      </c>
      <c r="E97" s="2">
        <f>21*D97</f>
        <v>63</v>
      </c>
      <c r="F97" s="3">
        <v>0</v>
      </c>
      <c r="G97" s="2">
        <f>21*D97</f>
        <v>63</v>
      </c>
      <c r="H97" s="2">
        <f>80*D97</f>
        <v>240</v>
      </c>
      <c r="I97" s="3">
        <v>0</v>
      </c>
      <c r="J97" s="6">
        <v>0</v>
      </c>
      <c r="K97" s="3">
        <v>0</v>
      </c>
      <c r="L97" s="2">
        <f t="shared" si="18"/>
        <v>1620</v>
      </c>
      <c r="M97" s="2">
        <f>1.5*30*D97</f>
        <v>135</v>
      </c>
      <c r="N97" s="2"/>
    </row>
    <row r="98" spans="1:14" ht="12.75">
      <c r="A98" s="323"/>
      <c r="B98" s="337"/>
      <c r="C98" s="2" t="s">
        <v>39</v>
      </c>
      <c r="D98" s="2">
        <v>3</v>
      </c>
      <c r="E98" s="2">
        <f>24*D98</f>
        <v>72</v>
      </c>
      <c r="F98" s="2">
        <f>20*D98</f>
        <v>60</v>
      </c>
      <c r="G98" s="2">
        <f>25*D98</f>
        <v>75</v>
      </c>
      <c r="H98" s="2">
        <f>83*D98</f>
        <v>249</v>
      </c>
      <c r="I98" s="2">
        <v>0</v>
      </c>
      <c r="J98" s="6">
        <v>0</v>
      </c>
      <c r="K98" s="2">
        <v>0</v>
      </c>
      <c r="L98" s="2">
        <f t="shared" si="18"/>
        <v>1620</v>
      </c>
      <c r="M98" s="2">
        <f>1.5*30*D98</f>
        <v>135</v>
      </c>
      <c r="N98" s="2"/>
    </row>
    <row r="99" spans="1:14" ht="12.75">
      <c r="A99" s="323"/>
      <c r="B99" s="337"/>
      <c r="C99" s="2" t="s">
        <v>42</v>
      </c>
      <c r="D99" s="2">
        <v>3</v>
      </c>
      <c r="E99" s="2">
        <f>58*D99</f>
        <v>174</v>
      </c>
      <c r="F99" s="2">
        <f>44*D99</f>
        <v>132</v>
      </c>
      <c r="G99" s="2">
        <f>135*D99</f>
        <v>405</v>
      </c>
      <c r="H99" s="2">
        <f>78*D99</f>
        <v>234</v>
      </c>
      <c r="I99" s="2">
        <v>0</v>
      </c>
      <c r="J99" s="6">
        <v>0</v>
      </c>
      <c r="K99" s="2">
        <v>0</v>
      </c>
      <c r="L99" s="2">
        <f t="shared" si="18"/>
        <v>1620</v>
      </c>
      <c r="M99" s="2">
        <f>1.5*30*D99</f>
        <v>135</v>
      </c>
      <c r="N99" s="2"/>
    </row>
    <row r="100" spans="1:14" ht="12.75">
      <c r="A100" s="323"/>
      <c r="B100" s="337"/>
      <c r="C100" s="2" t="s">
        <v>44</v>
      </c>
      <c r="D100" s="2">
        <v>3</v>
      </c>
      <c r="E100" s="2">
        <f>165*D100</f>
        <v>495</v>
      </c>
      <c r="F100" s="2">
        <f>105*D100</f>
        <v>315</v>
      </c>
      <c r="G100" s="2">
        <f>45*D100</f>
        <v>135</v>
      </c>
      <c r="H100" s="2">
        <v>0</v>
      </c>
      <c r="I100" s="2">
        <f>75*D100</f>
        <v>225</v>
      </c>
      <c r="J100" s="6">
        <v>0</v>
      </c>
      <c r="K100" s="2">
        <v>0</v>
      </c>
      <c r="L100" s="2">
        <f>24*D100*30</f>
        <v>2160</v>
      </c>
      <c r="M100" s="2">
        <f>3*30*D100</f>
        <v>270</v>
      </c>
      <c r="N100" s="2"/>
    </row>
    <row r="101" spans="1:14" ht="12.75">
      <c r="A101" s="323"/>
      <c r="B101" s="337"/>
      <c r="C101" s="2" t="s">
        <v>46</v>
      </c>
      <c r="D101" s="2">
        <v>3</v>
      </c>
      <c r="E101" s="2">
        <f>165*D101</f>
        <v>495</v>
      </c>
      <c r="F101" s="2">
        <f>105*D101</f>
        <v>315</v>
      </c>
      <c r="G101" s="2">
        <f>45*D101</f>
        <v>135</v>
      </c>
      <c r="H101" s="2">
        <v>0</v>
      </c>
      <c r="I101" s="2">
        <f>75*D101</f>
        <v>225</v>
      </c>
      <c r="J101" s="6">
        <v>0</v>
      </c>
      <c r="K101" s="2">
        <v>0</v>
      </c>
      <c r="L101" s="2">
        <f>24*D101*30</f>
        <v>2160</v>
      </c>
      <c r="M101" s="2">
        <f>3*30*D101</f>
        <v>270</v>
      </c>
      <c r="N101" s="2"/>
    </row>
    <row r="102" spans="1:14" ht="12.75">
      <c r="A102" s="323"/>
      <c r="B102" s="337"/>
      <c r="C102" s="2" t="s">
        <v>47</v>
      </c>
      <c r="D102" s="2">
        <v>3</v>
      </c>
      <c r="E102" s="2">
        <f>165*D102</f>
        <v>495</v>
      </c>
      <c r="F102" s="2">
        <f>105*D102</f>
        <v>315</v>
      </c>
      <c r="G102" s="2">
        <f>45*D102</f>
        <v>135</v>
      </c>
      <c r="H102" s="2">
        <v>0</v>
      </c>
      <c r="I102" s="2">
        <f>75*D102</f>
        <v>225</v>
      </c>
      <c r="J102" s="6">
        <v>0</v>
      </c>
      <c r="K102" s="2">
        <v>0</v>
      </c>
      <c r="L102" s="2">
        <f>24*D102*30</f>
        <v>2160</v>
      </c>
      <c r="M102" s="2">
        <f>3*30*D102</f>
        <v>270</v>
      </c>
      <c r="N102" s="2"/>
    </row>
    <row r="103" spans="1:15" ht="12.75">
      <c r="A103" s="323"/>
      <c r="B103" s="332" t="s">
        <v>21</v>
      </c>
      <c r="C103" s="333"/>
      <c r="D103" s="4">
        <f>SUM(D92:D102)</f>
        <v>126</v>
      </c>
      <c r="E103" s="4">
        <f aca="true" t="shared" si="19" ref="E103:L103">SUM(E92:E102)</f>
        <v>50394</v>
      </c>
      <c r="F103" s="4">
        <f t="shared" si="19"/>
        <v>65937</v>
      </c>
      <c r="G103" s="4">
        <f t="shared" si="19"/>
        <v>7428</v>
      </c>
      <c r="H103" s="4">
        <f t="shared" si="19"/>
        <v>723</v>
      </c>
      <c r="I103" s="4">
        <f t="shared" si="19"/>
        <v>675</v>
      </c>
      <c r="J103" s="6">
        <f t="shared" si="19"/>
        <v>0</v>
      </c>
      <c r="K103" s="4">
        <f t="shared" si="19"/>
        <v>0</v>
      </c>
      <c r="L103" s="4">
        <f t="shared" si="19"/>
        <v>335340</v>
      </c>
      <c r="M103" s="4">
        <f>SUM(M92:M102)</f>
        <v>16335</v>
      </c>
      <c r="N103" s="4">
        <f>M103</f>
        <v>16335</v>
      </c>
      <c r="O103" s="12"/>
    </row>
    <row r="104" spans="1:14" ht="12.75">
      <c r="A104" s="323"/>
      <c r="B104" s="337">
        <v>5</v>
      </c>
      <c r="C104" s="2" t="s">
        <v>29</v>
      </c>
      <c r="D104" s="2">
        <v>0</v>
      </c>
      <c r="E104" s="3">
        <f>20*D104*30</f>
        <v>0</v>
      </c>
      <c r="F104" s="2">
        <f>15*D104*30</f>
        <v>0</v>
      </c>
      <c r="G104" s="2">
        <f>2*D104*30</f>
        <v>0</v>
      </c>
      <c r="H104" s="3">
        <v>0</v>
      </c>
      <c r="I104" s="2">
        <v>0</v>
      </c>
      <c r="J104" s="6">
        <f>5*D104*30</f>
        <v>0</v>
      </c>
      <c r="K104" s="3">
        <v>0</v>
      </c>
      <c r="L104" s="2">
        <f>100*D104*30</f>
        <v>0</v>
      </c>
      <c r="M104" s="2">
        <f>140*D104</f>
        <v>0</v>
      </c>
      <c r="N104" s="2"/>
    </row>
    <row r="105" spans="1:14" ht="12.75">
      <c r="A105" s="323"/>
      <c r="B105" s="337"/>
      <c r="C105" s="2" t="s">
        <v>36</v>
      </c>
      <c r="D105" s="2">
        <v>108</v>
      </c>
      <c r="E105" s="2">
        <f>15*D105*30</f>
        <v>48600</v>
      </c>
      <c r="F105" s="2">
        <f>20*D105*30</f>
        <v>64800</v>
      </c>
      <c r="G105" s="2">
        <f>2*D105*30</f>
        <v>6480</v>
      </c>
      <c r="H105" s="2">
        <v>0</v>
      </c>
      <c r="I105" s="2">
        <v>0</v>
      </c>
      <c r="J105" s="6">
        <v>0</v>
      </c>
      <c r="K105" s="2">
        <v>0</v>
      </c>
      <c r="L105" s="2">
        <f>100*D105*30</f>
        <v>324000</v>
      </c>
      <c r="M105" s="2">
        <f>140*D105</f>
        <v>15120</v>
      </c>
      <c r="N105" s="2"/>
    </row>
    <row r="106" spans="1:14" ht="12.75">
      <c r="A106" s="323"/>
      <c r="B106" s="337"/>
      <c r="C106" s="2" t="s">
        <v>30</v>
      </c>
      <c r="D106" s="2">
        <v>0</v>
      </c>
      <c r="E106" s="3">
        <f>3*D106</f>
        <v>0</v>
      </c>
      <c r="F106" s="2">
        <v>0</v>
      </c>
      <c r="G106" s="2">
        <f>6*D106</f>
        <v>0</v>
      </c>
      <c r="H106" s="2">
        <f>10*D106</f>
        <v>0</v>
      </c>
      <c r="I106" s="2">
        <v>0</v>
      </c>
      <c r="J106" s="6">
        <v>0</v>
      </c>
      <c r="K106" s="2">
        <f>170*D106</f>
        <v>0</v>
      </c>
      <c r="L106" s="2">
        <f aca="true" t="shared" si="20" ref="L106:L111">18*D106*30</f>
        <v>0</v>
      </c>
      <c r="M106" s="2">
        <v>0</v>
      </c>
      <c r="N106" s="2"/>
    </row>
    <row r="107" spans="1:14" ht="12.75">
      <c r="A107" s="323"/>
      <c r="B107" s="337"/>
      <c r="C107" s="2" t="s">
        <v>32</v>
      </c>
      <c r="D107" s="2">
        <v>0</v>
      </c>
      <c r="E107" s="2">
        <f>14*D107</f>
        <v>0</v>
      </c>
      <c r="F107" s="2">
        <v>0</v>
      </c>
      <c r="G107" s="2">
        <f>9*D107</f>
        <v>0</v>
      </c>
      <c r="H107" s="2">
        <f>45*D107</f>
        <v>0</v>
      </c>
      <c r="I107" s="2">
        <v>0</v>
      </c>
      <c r="J107" s="6">
        <v>0</v>
      </c>
      <c r="K107" s="2">
        <f>90*D107</f>
        <v>0</v>
      </c>
      <c r="L107" s="2">
        <f t="shared" si="20"/>
        <v>0</v>
      </c>
      <c r="M107" s="2">
        <v>0</v>
      </c>
      <c r="N107" s="2"/>
    </row>
    <row r="108" spans="1:14" ht="12.75">
      <c r="A108" s="323"/>
      <c r="B108" s="337"/>
      <c r="C108" s="2" t="s">
        <v>34</v>
      </c>
      <c r="D108" s="2">
        <v>0</v>
      </c>
      <c r="E108" s="2">
        <f>15*D108</f>
        <v>0</v>
      </c>
      <c r="F108" s="2">
        <v>0</v>
      </c>
      <c r="G108" s="2">
        <f>13*D108</f>
        <v>0</v>
      </c>
      <c r="H108" s="2">
        <f>72*D108</f>
        <v>0</v>
      </c>
      <c r="I108" s="2">
        <v>0</v>
      </c>
      <c r="J108" s="6">
        <v>0</v>
      </c>
      <c r="K108" s="2">
        <v>0</v>
      </c>
      <c r="L108" s="2">
        <f t="shared" si="20"/>
        <v>0</v>
      </c>
      <c r="M108" s="2">
        <f>1.5*30*D108</f>
        <v>0</v>
      </c>
      <c r="N108" s="2"/>
    </row>
    <row r="109" spans="1:14" ht="12.75">
      <c r="A109" s="323"/>
      <c r="B109" s="337"/>
      <c r="C109" s="2" t="s">
        <v>37</v>
      </c>
      <c r="D109" s="2">
        <v>0</v>
      </c>
      <c r="E109" s="2">
        <f>21*D109</f>
        <v>0</v>
      </c>
      <c r="F109" s="3">
        <v>0</v>
      </c>
      <c r="G109" s="2">
        <f>21*D109</f>
        <v>0</v>
      </c>
      <c r="H109" s="2">
        <f>80*D109</f>
        <v>0</v>
      </c>
      <c r="I109" s="3">
        <v>0</v>
      </c>
      <c r="J109" s="6">
        <v>0</v>
      </c>
      <c r="K109" s="3">
        <v>0</v>
      </c>
      <c r="L109" s="2">
        <f t="shared" si="20"/>
        <v>0</v>
      </c>
      <c r="M109" s="2">
        <v>0</v>
      </c>
      <c r="N109" s="2"/>
    </row>
    <row r="110" spans="1:14" ht="12.75">
      <c r="A110" s="323"/>
      <c r="B110" s="337"/>
      <c r="C110" s="2" t="s">
        <v>39</v>
      </c>
      <c r="D110" s="2">
        <v>3</v>
      </c>
      <c r="E110" s="2">
        <f>24*D110</f>
        <v>72</v>
      </c>
      <c r="F110" s="2">
        <f>20*D110</f>
        <v>60</v>
      </c>
      <c r="G110" s="2">
        <f>25*D110</f>
        <v>75</v>
      </c>
      <c r="H110" s="2">
        <f>83*D110</f>
        <v>249</v>
      </c>
      <c r="I110" s="2">
        <v>0</v>
      </c>
      <c r="J110" s="6">
        <v>0</v>
      </c>
      <c r="K110" s="2">
        <v>0</v>
      </c>
      <c r="L110" s="2">
        <f t="shared" si="20"/>
        <v>1620</v>
      </c>
      <c r="M110" s="2">
        <f>1.5*30*D110</f>
        <v>135</v>
      </c>
      <c r="N110" s="2"/>
    </row>
    <row r="111" spans="1:14" ht="12.75">
      <c r="A111" s="323"/>
      <c r="B111" s="337"/>
      <c r="C111" s="2" t="s">
        <v>42</v>
      </c>
      <c r="D111" s="2">
        <v>3</v>
      </c>
      <c r="E111" s="2">
        <f>58*D111</f>
        <v>174</v>
      </c>
      <c r="F111" s="2">
        <f>44*D111</f>
        <v>132</v>
      </c>
      <c r="G111" s="2">
        <f>135*D111</f>
        <v>405</v>
      </c>
      <c r="H111" s="2">
        <f>78*D111</f>
        <v>234</v>
      </c>
      <c r="I111" s="2">
        <v>0</v>
      </c>
      <c r="J111" s="6">
        <v>0</v>
      </c>
      <c r="K111" s="2">
        <v>0</v>
      </c>
      <c r="L111" s="2">
        <f t="shared" si="20"/>
        <v>1620</v>
      </c>
      <c r="M111" s="2">
        <f>1.5*30*D111</f>
        <v>135</v>
      </c>
      <c r="N111" s="2"/>
    </row>
    <row r="112" spans="1:14" ht="12.75">
      <c r="A112" s="323"/>
      <c r="B112" s="337"/>
      <c r="C112" s="2" t="s">
        <v>48</v>
      </c>
      <c r="D112" s="2">
        <v>9</v>
      </c>
      <c r="E112" s="2">
        <f>165*D112</f>
        <v>1485</v>
      </c>
      <c r="F112" s="2">
        <f>105*D112</f>
        <v>945</v>
      </c>
      <c r="G112" s="2">
        <f>45*D112</f>
        <v>405</v>
      </c>
      <c r="H112" s="2">
        <v>0</v>
      </c>
      <c r="I112" s="2">
        <f>75*D112</f>
        <v>675</v>
      </c>
      <c r="J112" s="6">
        <v>0</v>
      </c>
      <c r="K112" s="2">
        <v>0</v>
      </c>
      <c r="L112" s="2">
        <f>24*D112*30</f>
        <v>6480</v>
      </c>
      <c r="M112" s="2">
        <f>3*30*D112</f>
        <v>810</v>
      </c>
      <c r="N112" s="2"/>
    </row>
    <row r="113" spans="1:14" ht="12.75">
      <c r="A113" s="323"/>
      <c r="B113" s="337"/>
      <c r="C113" s="2" t="s">
        <v>49</v>
      </c>
      <c r="D113" s="2">
        <v>3</v>
      </c>
      <c r="E113" s="2">
        <f>195*D113</f>
        <v>585</v>
      </c>
      <c r="F113" s="2">
        <f>150*D113</f>
        <v>450</v>
      </c>
      <c r="G113" s="2">
        <f>135*D113</f>
        <v>405</v>
      </c>
      <c r="H113" s="2">
        <v>0</v>
      </c>
      <c r="I113" s="2">
        <f>60*D113</f>
        <v>180</v>
      </c>
      <c r="J113" s="6">
        <v>0</v>
      </c>
      <c r="K113" s="2">
        <v>0</v>
      </c>
      <c r="L113" s="2">
        <f>24*D113*30</f>
        <v>2160</v>
      </c>
      <c r="M113" s="2">
        <f>100+3*30*D113</f>
        <v>370</v>
      </c>
      <c r="N113" s="2"/>
    </row>
    <row r="114" spans="1:15" ht="12.75">
      <c r="A114" s="323"/>
      <c r="B114" s="4" t="s">
        <v>23</v>
      </c>
      <c r="C114" s="4"/>
      <c r="D114" s="4">
        <f>SUM(D104:D113)</f>
        <v>126</v>
      </c>
      <c r="E114" s="4">
        <f aca="true" t="shared" si="21" ref="E114:L114">SUM(E104:E113)</f>
        <v>50916</v>
      </c>
      <c r="F114" s="4">
        <f t="shared" si="21"/>
        <v>66387</v>
      </c>
      <c r="G114" s="4">
        <f t="shared" si="21"/>
        <v>7770</v>
      </c>
      <c r="H114" s="4">
        <f t="shared" si="21"/>
        <v>483</v>
      </c>
      <c r="I114" s="4">
        <f t="shared" si="21"/>
        <v>855</v>
      </c>
      <c r="J114" s="6">
        <f t="shared" si="21"/>
        <v>0</v>
      </c>
      <c r="K114" s="4">
        <f t="shared" si="21"/>
        <v>0</v>
      </c>
      <c r="L114" s="4">
        <f t="shared" si="21"/>
        <v>335880</v>
      </c>
      <c r="M114" s="4">
        <f>SUM(M104:M113)</f>
        <v>16570</v>
      </c>
      <c r="N114" s="4">
        <f>M114</f>
        <v>16570</v>
      </c>
      <c r="O114" s="12"/>
    </row>
    <row r="115" spans="1:14" ht="12.75">
      <c r="A115" s="323"/>
      <c r="B115" s="337">
        <v>6</v>
      </c>
      <c r="C115" s="2" t="s">
        <v>29</v>
      </c>
      <c r="D115" s="2">
        <v>0</v>
      </c>
      <c r="E115" s="3">
        <f>20*D115*30</f>
        <v>0</v>
      </c>
      <c r="F115" s="2">
        <f>15*D115*30</f>
        <v>0</v>
      </c>
      <c r="G115" s="2">
        <f>2*D115*30</f>
        <v>0</v>
      </c>
      <c r="H115" s="3">
        <v>0</v>
      </c>
      <c r="I115" s="2">
        <v>0</v>
      </c>
      <c r="J115" s="6">
        <f>5*D115*30</f>
        <v>0</v>
      </c>
      <c r="K115" s="3">
        <v>0</v>
      </c>
      <c r="L115" s="2">
        <f>100*D115*30</f>
        <v>0</v>
      </c>
      <c r="M115" s="2">
        <f>140*D115</f>
        <v>0</v>
      </c>
      <c r="N115" s="2"/>
    </row>
    <row r="116" spans="1:14" ht="12.75">
      <c r="A116" s="323"/>
      <c r="B116" s="337"/>
      <c r="C116" s="2" t="s">
        <v>36</v>
      </c>
      <c r="D116" s="2">
        <v>96</v>
      </c>
      <c r="E116" s="2">
        <f>15*D116*30</f>
        <v>43200</v>
      </c>
      <c r="F116" s="2">
        <f>20*D116*30</f>
        <v>57600</v>
      </c>
      <c r="G116" s="2">
        <f>2*D116*30</f>
        <v>5760</v>
      </c>
      <c r="H116" s="2">
        <v>0</v>
      </c>
      <c r="I116" s="2">
        <v>0</v>
      </c>
      <c r="J116" s="6">
        <v>0</v>
      </c>
      <c r="K116" s="2">
        <v>0</v>
      </c>
      <c r="L116" s="2">
        <f>100*D116*30</f>
        <v>288000</v>
      </c>
      <c r="M116" s="2">
        <f>140*D116</f>
        <v>13440</v>
      </c>
      <c r="N116" s="2"/>
    </row>
    <row r="117" spans="1:14" ht="12.75">
      <c r="A117" s="323"/>
      <c r="B117" s="337"/>
      <c r="C117" s="2" t="s">
        <v>51</v>
      </c>
      <c r="D117" s="2">
        <v>12</v>
      </c>
      <c r="E117" s="2">
        <f>20*D117*30</f>
        <v>7200</v>
      </c>
      <c r="F117" s="2">
        <f>5*D117*30</f>
        <v>1800</v>
      </c>
      <c r="G117" s="2">
        <f>4*D117*30</f>
        <v>1440</v>
      </c>
      <c r="H117" s="2">
        <v>0</v>
      </c>
      <c r="I117" s="2">
        <v>0</v>
      </c>
      <c r="J117" s="6">
        <v>0</v>
      </c>
      <c r="K117" s="2">
        <v>0</v>
      </c>
      <c r="L117" s="2">
        <f>100*D117*30</f>
        <v>36000</v>
      </c>
      <c r="M117" s="2">
        <f>140*D117</f>
        <v>1680</v>
      </c>
      <c r="N117" s="2"/>
    </row>
    <row r="118" spans="1:14" ht="12.75">
      <c r="A118" s="323"/>
      <c r="B118" s="337"/>
      <c r="C118" s="2" t="s">
        <v>30</v>
      </c>
      <c r="D118" s="2">
        <v>0</v>
      </c>
      <c r="E118" s="3">
        <f>3*D118</f>
        <v>0</v>
      </c>
      <c r="F118" s="2">
        <v>0</v>
      </c>
      <c r="G118" s="2">
        <f>6*D118</f>
        <v>0</v>
      </c>
      <c r="H118" s="2">
        <f>10*D118</f>
        <v>0</v>
      </c>
      <c r="I118" s="2">
        <v>0</v>
      </c>
      <c r="J118" s="6">
        <v>0</v>
      </c>
      <c r="K118" s="2">
        <f>170*D118</f>
        <v>0</v>
      </c>
      <c r="L118" s="2">
        <f aca="true" t="shared" si="22" ref="L118:L123">18*D118*30</f>
        <v>0</v>
      </c>
      <c r="M118" s="2">
        <v>0</v>
      </c>
      <c r="N118" s="2"/>
    </row>
    <row r="119" spans="1:14" ht="12.75">
      <c r="A119" s="323"/>
      <c r="B119" s="337"/>
      <c r="C119" s="2" t="s">
        <v>32</v>
      </c>
      <c r="D119" s="2">
        <v>0</v>
      </c>
      <c r="E119" s="2">
        <f>14*D119</f>
        <v>0</v>
      </c>
      <c r="F119" s="2">
        <v>0</v>
      </c>
      <c r="G119" s="2">
        <f>9*D119</f>
        <v>0</v>
      </c>
      <c r="H119" s="2">
        <f>45*D119</f>
        <v>0</v>
      </c>
      <c r="I119" s="2">
        <v>0</v>
      </c>
      <c r="J119" s="6">
        <v>0</v>
      </c>
      <c r="K119" s="2">
        <f>90*D119</f>
        <v>0</v>
      </c>
      <c r="L119" s="2">
        <f t="shared" si="22"/>
        <v>0</v>
      </c>
      <c r="M119" s="2">
        <v>0</v>
      </c>
      <c r="N119" s="2"/>
    </row>
    <row r="120" spans="1:14" ht="12.75">
      <c r="A120" s="323"/>
      <c r="B120" s="337"/>
      <c r="C120" s="2" t="s">
        <v>34</v>
      </c>
      <c r="D120" s="2">
        <v>0</v>
      </c>
      <c r="E120" s="2">
        <f>15*D120</f>
        <v>0</v>
      </c>
      <c r="F120" s="2">
        <v>0</v>
      </c>
      <c r="G120" s="2">
        <f>13*D120</f>
        <v>0</v>
      </c>
      <c r="H120" s="2">
        <f>72*D120</f>
        <v>0</v>
      </c>
      <c r="I120" s="2">
        <v>0</v>
      </c>
      <c r="J120" s="6">
        <v>0</v>
      </c>
      <c r="K120" s="2">
        <v>0</v>
      </c>
      <c r="L120" s="2">
        <f t="shared" si="22"/>
        <v>0</v>
      </c>
      <c r="M120" s="2">
        <f>1.5*30*D120</f>
        <v>0</v>
      </c>
      <c r="N120" s="2"/>
    </row>
    <row r="121" spans="1:14" ht="12.75">
      <c r="A121" s="323"/>
      <c r="B121" s="337"/>
      <c r="C121" s="2" t="s">
        <v>37</v>
      </c>
      <c r="D121" s="2">
        <v>0</v>
      </c>
      <c r="E121" s="2">
        <f>21*D121</f>
        <v>0</v>
      </c>
      <c r="F121" s="3">
        <v>0</v>
      </c>
      <c r="G121" s="2">
        <f>21*D121</f>
        <v>0</v>
      </c>
      <c r="H121" s="2">
        <f>80*D121</f>
        <v>0</v>
      </c>
      <c r="I121" s="3">
        <v>0</v>
      </c>
      <c r="J121" s="6">
        <v>0</v>
      </c>
      <c r="K121" s="3">
        <v>0</v>
      </c>
      <c r="L121" s="2">
        <f t="shared" si="22"/>
        <v>0</v>
      </c>
      <c r="M121" s="2">
        <v>0</v>
      </c>
      <c r="N121" s="2"/>
    </row>
    <row r="122" spans="1:14" ht="12.75">
      <c r="A122" s="323"/>
      <c r="B122" s="337"/>
      <c r="C122" s="2" t="s">
        <v>39</v>
      </c>
      <c r="D122" s="2">
        <v>0</v>
      </c>
      <c r="E122" s="2">
        <f>24*D122</f>
        <v>0</v>
      </c>
      <c r="F122" s="2">
        <f>20*D122</f>
        <v>0</v>
      </c>
      <c r="G122" s="2">
        <f>25*D122</f>
        <v>0</v>
      </c>
      <c r="H122" s="2">
        <f>83*D122</f>
        <v>0</v>
      </c>
      <c r="I122" s="2">
        <v>0</v>
      </c>
      <c r="J122" s="6">
        <v>0</v>
      </c>
      <c r="K122" s="2">
        <v>0</v>
      </c>
      <c r="L122" s="2">
        <f t="shared" si="22"/>
        <v>0</v>
      </c>
      <c r="M122" s="2">
        <f>1.5*30*D122</f>
        <v>0</v>
      </c>
      <c r="N122" s="2"/>
    </row>
    <row r="123" spans="1:14" ht="12.75">
      <c r="A123" s="323"/>
      <c r="B123" s="337"/>
      <c r="C123" s="2" t="s">
        <v>42</v>
      </c>
      <c r="D123" s="2">
        <v>3</v>
      </c>
      <c r="E123" s="2">
        <f>58*D123</f>
        <v>174</v>
      </c>
      <c r="F123" s="2">
        <f>44*D123</f>
        <v>132</v>
      </c>
      <c r="G123" s="2">
        <f>135*D123</f>
        <v>405</v>
      </c>
      <c r="H123" s="2">
        <f>78*D123</f>
        <v>234</v>
      </c>
      <c r="I123" s="2">
        <v>0</v>
      </c>
      <c r="J123" s="6">
        <v>0</v>
      </c>
      <c r="K123" s="2">
        <v>0</v>
      </c>
      <c r="L123" s="2">
        <f t="shared" si="22"/>
        <v>1620</v>
      </c>
      <c r="M123" s="2">
        <f>1.5*30*D123</f>
        <v>135</v>
      </c>
      <c r="N123" s="2"/>
    </row>
    <row r="124" spans="1:14" ht="12.75">
      <c r="A124" s="323"/>
      <c r="B124" s="337"/>
      <c r="C124" s="2" t="s">
        <v>48</v>
      </c>
      <c r="D124" s="2">
        <v>9</v>
      </c>
      <c r="E124" s="2">
        <f>165*D124</f>
        <v>1485</v>
      </c>
      <c r="F124" s="2">
        <f>105*D124</f>
        <v>945</v>
      </c>
      <c r="G124" s="2">
        <f>45*D124</f>
        <v>405</v>
      </c>
      <c r="H124" s="2">
        <v>0</v>
      </c>
      <c r="I124" s="2">
        <f>75*D124</f>
        <v>675</v>
      </c>
      <c r="J124" s="6">
        <v>0</v>
      </c>
      <c r="K124" s="2">
        <v>0</v>
      </c>
      <c r="L124" s="2">
        <f>24*D124*30</f>
        <v>6480</v>
      </c>
      <c r="M124" s="2">
        <f>3*30*D124</f>
        <v>810</v>
      </c>
      <c r="N124" s="2"/>
    </row>
    <row r="125" spans="1:14" ht="12.75">
      <c r="A125" s="323"/>
      <c r="B125" s="337"/>
      <c r="C125" s="2" t="s">
        <v>50</v>
      </c>
      <c r="D125" s="2">
        <v>6</v>
      </c>
      <c r="E125" s="2">
        <f>195*D125</f>
        <v>1170</v>
      </c>
      <c r="F125" s="2">
        <f>150*D125</f>
        <v>900</v>
      </c>
      <c r="G125" s="2">
        <f>135*D125</f>
        <v>810</v>
      </c>
      <c r="H125" s="2">
        <v>0</v>
      </c>
      <c r="I125" s="2">
        <f>60*D125</f>
        <v>360</v>
      </c>
      <c r="J125" s="6">
        <v>0</v>
      </c>
      <c r="K125" s="2">
        <v>0</v>
      </c>
      <c r="L125" s="2">
        <f>24*D125*30</f>
        <v>4320</v>
      </c>
      <c r="M125" s="2">
        <f>3*30*D125</f>
        <v>540</v>
      </c>
      <c r="N125" s="2"/>
    </row>
    <row r="126" spans="1:15" ht="12.75">
      <c r="A126" s="323"/>
      <c r="B126" s="332" t="s">
        <v>25</v>
      </c>
      <c r="C126" s="333"/>
      <c r="D126" s="4">
        <f>SUM(D115:D125)</f>
        <v>126</v>
      </c>
      <c r="E126" s="4">
        <f aca="true" t="shared" si="23" ref="E126:J126">SUM(E115:E125)</f>
        <v>53229</v>
      </c>
      <c r="F126" s="4">
        <f t="shared" si="23"/>
        <v>61377</v>
      </c>
      <c r="G126" s="4">
        <f t="shared" si="23"/>
        <v>8820</v>
      </c>
      <c r="H126" s="4">
        <f t="shared" si="23"/>
        <v>234</v>
      </c>
      <c r="I126" s="4">
        <f t="shared" si="23"/>
        <v>1035</v>
      </c>
      <c r="J126" s="6">
        <f t="shared" si="23"/>
        <v>0</v>
      </c>
      <c r="K126" s="4">
        <f>SUM(K115:K125)</f>
        <v>0</v>
      </c>
      <c r="L126" s="4">
        <f>SUM(L115:L125)</f>
        <v>336420</v>
      </c>
      <c r="M126" s="4">
        <f>SUM(M115:M125)</f>
        <v>16605</v>
      </c>
      <c r="N126" s="4">
        <f>M126</f>
        <v>16605</v>
      </c>
      <c r="O126" s="12"/>
    </row>
    <row r="127" spans="1:14" ht="12.75">
      <c r="A127" s="323"/>
      <c r="B127" s="337">
        <v>7</v>
      </c>
      <c r="C127" s="2" t="s">
        <v>29</v>
      </c>
      <c r="D127" s="2">
        <v>0</v>
      </c>
      <c r="E127" s="3">
        <f>20*D127*30</f>
        <v>0</v>
      </c>
      <c r="F127" s="2">
        <f>15*D127*30</f>
        <v>0</v>
      </c>
      <c r="G127" s="2">
        <f>2*D127*30</f>
        <v>0</v>
      </c>
      <c r="H127" s="3">
        <v>0</v>
      </c>
      <c r="I127" s="2">
        <v>0</v>
      </c>
      <c r="J127" s="6">
        <f>5*D127*30</f>
        <v>0</v>
      </c>
      <c r="K127" s="3">
        <v>0</v>
      </c>
      <c r="L127" s="2">
        <f>100*D127*30</f>
        <v>0</v>
      </c>
      <c r="M127" s="2">
        <f>140*D127</f>
        <v>0</v>
      </c>
      <c r="N127" s="2"/>
    </row>
    <row r="128" spans="1:14" ht="12.75">
      <c r="A128" s="323"/>
      <c r="B128" s="337"/>
      <c r="C128" s="2" t="s">
        <v>36</v>
      </c>
      <c r="D128" s="2">
        <v>84</v>
      </c>
      <c r="E128" s="2">
        <f>15*D128*30</f>
        <v>37800</v>
      </c>
      <c r="F128" s="2">
        <f>20*D128*30</f>
        <v>50400</v>
      </c>
      <c r="G128" s="2">
        <f>2*D128*30</f>
        <v>5040</v>
      </c>
      <c r="H128" s="2">
        <v>0</v>
      </c>
      <c r="I128" s="2">
        <v>0</v>
      </c>
      <c r="J128" s="6">
        <v>0</v>
      </c>
      <c r="K128" s="2">
        <v>0</v>
      </c>
      <c r="L128" s="2">
        <f>100*D128*30</f>
        <v>252000</v>
      </c>
      <c r="M128" s="2">
        <f>140*D128</f>
        <v>11760</v>
      </c>
      <c r="N128" s="2"/>
    </row>
    <row r="129" spans="1:14" ht="12.75">
      <c r="A129" s="323"/>
      <c r="B129" s="337"/>
      <c r="C129" s="2" t="s">
        <v>51</v>
      </c>
      <c r="D129" s="2">
        <v>24</v>
      </c>
      <c r="E129" s="2">
        <f>20*D129*30</f>
        <v>14400</v>
      </c>
      <c r="F129" s="2">
        <f>5*D129*30</f>
        <v>3600</v>
      </c>
      <c r="G129" s="2">
        <f>4*D129*30</f>
        <v>2880</v>
      </c>
      <c r="H129" s="2">
        <v>0</v>
      </c>
      <c r="I129" s="2">
        <v>0</v>
      </c>
      <c r="J129" s="6">
        <v>0</v>
      </c>
      <c r="K129" s="2">
        <v>0</v>
      </c>
      <c r="L129" s="2">
        <f>100*D129*30</f>
        <v>72000</v>
      </c>
      <c r="M129" s="2">
        <f>140*D129</f>
        <v>3360</v>
      </c>
      <c r="N129" s="2"/>
    </row>
    <row r="130" spans="1:14" ht="12.75">
      <c r="A130" s="323"/>
      <c r="B130" s="337"/>
      <c r="C130" s="2" t="s">
        <v>30</v>
      </c>
      <c r="D130" s="2">
        <v>0</v>
      </c>
      <c r="E130" s="3">
        <f>3*D130</f>
        <v>0</v>
      </c>
      <c r="F130" s="2">
        <v>0</v>
      </c>
      <c r="G130" s="2">
        <f>6*D130</f>
        <v>0</v>
      </c>
      <c r="H130" s="2">
        <f>10*D130</f>
        <v>0</v>
      </c>
      <c r="I130" s="2">
        <v>0</v>
      </c>
      <c r="J130" s="6">
        <v>0</v>
      </c>
      <c r="K130" s="2">
        <f>170*D130</f>
        <v>0</v>
      </c>
      <c r="L130" s="2">
        <f aca="true" t="shared" si="24" ref="L130:L135">18*D130*30</f>
        <v>0</v>
      </c>
      <c r="M130" s="2">
        <v>0</v>
      </c>
      <c r="N130" s="2"/>
    </row>
    <row r="131" spans="1:14" ht="12.75">
      <c r="A131" s="323"/>
      <c r="B131" s="337"/>
      <c r="C131" s="2" t="s">
        <v>32</v>
      </c>
      <c r="D131" s="2">
        <v>0</v>
      </c>
      <c r="E131" s="2">
        <f>14*D131</f>
        <v>0</v>
      </c>
      <c r="F131" s="2">
        <v>0</v>
      </c>
      <c r="G131" s="2">
        <f>9*D131</f>
        <v>0</v>
      </c>
      <c r="H131" s="2">
        <f>45*D131</f>
        <v>0</v>
      </c>
      <c r="I131" s="2">
        <v>0</v>
      </c>
      <c r="J131" s="6">
        <v>0</v>
      </c>
      <c r="K131" s="2">
        <f>90*D131</f>
        <v>0</v>
      </c>
      <c r="L131" s="2">
        <f t="shared" si="24"/>
        <v>0</v>
      </c>
      <c r="M131" s="2">
        <v>0</v>
      </c>
      <c r="N131" s="2"/>
    </row>
    <row r="132" spans="1:14" ht="12.75">
      <c r="A132" s="323"/>
      <c r="B132" s="337"/>
      <c r="C132" s="2" t="s">
        <v>34</v>
      </c>
      <c r="D132" s="2">
        <v>0</v>
      </c>
      <c r="E132" s="2">
        <f>15*D132</f>
        <v>0</v>
      </c>
      <c r="F132" s="2">
        <v>0</v>
      </c>
      <c r="G132" s="2">
        <f>13*D132</f>
        <v>0</v>
      </c>
      <c r="H132" s="2">
        <f>72*D132</f>
        <v>0</v>
      </c>
      <c r="I132" s="2">
        <v>0</v>
      </c>
      <c r="J132" s="6">
        <v>0</v>
      </c>
      <c r="K132" s="2">
        <v>0</v>
      </c>
      <c r="L132" s="2">
        <f t="shared" si="24"/>
        <v>0</v>
      </c>
      <c r="M132" s="3">
        <v>0</v>
      </c>
      <c r="N132" s="2"/>
    </row>
    <row r="133" spans="1:14" ht="12.75">
      <c r="A133" s="323"/>
      <c r="B133" s="337"/>
      <c r="C133" s="2" t="s">
        <v>37</v>
      </c>
      <c r="D133" s="2">
        <v>0</v>
      </c>
      <c r="E133" s="2">
        <f>21*D133</f>
        <v>0</v>
      </c>
      <c r="F133" s="3">
        <v>0</v>
      </c>
      <c r="G133" s="2">
        <f>21*D133</f>
        <v>0</v>
      </c>
      <c r="H133" s="2">
        <f>80*D133</f>
        <v>0</v>
      </c>
      <c r="I133" s="3">
        <v>0</v>
      </c>
      <c r="J133" s="6">
        <v>0</v>
      </c>
      <c r="K133" s="3">
        <v>0</v>
      </c>
      <c r="L133" s="2">
        <f t="shared" si="24"/>
        <v>0</v>
      </c>
      <c r="M133" s="2">
        <v>0</v>
      </c>
      <c r="N133" s="2"/>
    </row>
    <row r="134" spans="1:14" ht="12.75">
      <c r="A134" s="323"/>
      <c r="B134" s="337"/>
      <c r="C134" s="2" t="s">
        <v>39</v>
      </c>
      <c r="D134" s="2">
        <v>0</v>
      </c>
      <c r="E134" s="2">
        <f>24*D134</f>
        <v>0</v>
      </c>
      <c r="F134" s="2">
        <f>20*D134</f>
        <v>0</v>
      </c>
      <c r="G134" s="2">
        <f>25*D134</f>
        <v>0</v>
      </c>
      <c r="H134" s="2">
        <f>83*D134</f>
        <v>0</v>
      </c>
      <c r="I134" s="2">
        <v>0</v>
      </c>
      <c r="J134" s="6">
        <v>0</v>
      </c>
      <c r="K134" s="2">
        <v>0</v>
      </c>
      <c r="L134" s="2">
        <f t="shared" si="24"/>
        <v>0</v>
      </c>
      <c r="M134" s="2">
        <f>1.5*30*D134</f>
        <v>0</v>
      </c>
      <c r="N134" s="2"/>
    </row>
    <row r="135" spans="1:14" ht="12.75">
      <c r="A135" s="323"/>
      <c r="B135" s="337"/>
      <c r="C135" s="2" t="s">
        <v>42</v>
      </c>
      <c r="D135" s="2">
        <v>0</v>
      </c>
      <c r="E135" s="2">
        <f>58*D135</f>
        <v>0</v>
      </c>
      <c r="F135" s="2">
        <f>44*D135</f>
        <v>0</v>
      </c>
      <c r="G135" s="2">
        <f>135*D135</f>
        <v>0</v>
      </c>
      <c r="H135" s="2">
        <f>78*D135</f>
        <v>0</v>
      </c>
      <c r="I135" s="2">
        <v>0</v>
      </c>
      <c r="J135" s="6">
        <v>0</v>
      </c>
      <c r="K135" s="2">
        <v>0</v>
      </c>
      <c r="L135" s="2">
        <f t="shared" si="24"/>
        <v>0</v>
      </c>
      <c r="M135" s="2">
        <f>1.5*30*D135</f>
        <v>0</v>
      </c>
      <c r="N135" s="2"/>
    </row>
    <row r="136" spans="1:14" ht="12.75">
      <c r="A136" s="323"/>
      <c r="B136" s="337"/>
      <c r="C136" s="2" t="s">
        <v>48</v>
      </c>
      <c r="D136" s="2">
        <v>9</v>
      </c>
      <c r="E136" s="2">
        <f>165*D136</f>
        <v>1485</v>
      </c>
      <c r="F136" s="2">
        <f>105*D136</f>
        <v>945</v>
      </c>
      <c r="G136" s="2">
        <f>45*D136</f>
        <v>405</v>
      </c>
      <c r="H136" s="2">
        <v>0</v>
      </c>
      <c r="I136" s="2">
        <f>75*D136</f>
        <v>675</v>
      </c>
      <c r="J136" s="6">
        <v>0</v>
      </c>
      <c r="K136" s="2">
        <v>0</v>
      </c>
      <c r="L136" s="2">
        <f>24*D136*30</f>
        <v>6480</v>
      </c>
      <c r="M136" s="2">
        <f>3*30*D136</f>
        <v>810</v>
      </c>
      <c r="N136" s="2"/>
    </row>
    <row r="137" spans="1:14" ht="12.75">
      <c r="A137" s="323"/>
      <c r="B137" s="337"/>
      <c r="C137" s="2" t="s">
        <v>52</v>
      </c>
      <c r="D137" s="2">
        <v>9</v>
      </c>
      <c r="E137" s="2">
        <f>195*D137</f>
        <v>1755</v>
      </c>
      <c r="F137" s="2">
        <f>150*D137</f>
        <v>1350</v>
      </c>
      <c r="G137" s="2">
        <f>135*D137</f>
        <v>1215</v>
      </c>
      <c r="H137" s="2">
        <v>0</v>
      </c>
      <c r="I137" s="2">
        <f>60*D137</f>
        <v>540</v>
      </c>
      <c r="J137" s="6">
        <v>0</v>
      </c>
      <c r="K137" s="2">
        <v>0</v>
      </c>
      <c r="L137" s="2">
        <f>24*D137*30</f>
        <v>6480</v>
      </c>
      <c r="M137" s="2">
        <f>100+3*30*D137</f>
        <v>910</v>
      </c>
      <c r="N137" s="2"/>
    </row>
    <row r="138" spans="1:15" ht="12.75">
      <c r="A138" s="323"/>
      <c r="B138" s="332" t="s">
        <v>27</v>
      </c>
      <c r="C138" s="333"/>
      <c r="D138" s="4">
        <f>SUM(D127:D137)</f>
        <v>126</v>
      </c>
      <c r="E138" s="4">
        <f aca="true" t="shared" si="25" ref="E138:L138">SUM(E127:E137)</f>
        <v>55440</v>
      </c>
      <c r="F138" s="4">
        <f t="shared" si="25"/>
        <v>56295</v>
      </c>
      <c r="G138" s="4">
        <f t="shared" si="25"/>
        <v>9540</v>
      </c>
      <c r="H138" s="4">
        <f t="shared" si="25"/>
        <v>0</v>
      </c>
      <c r="I138" s="4">
        <f t="shared" si="25"/>
        <v>1215</v>
      </c>
      <c r="J138" s="6">
        <f t="shared" si="25"/>
        <v>0</v>
      </c>
      <c r="K138" s="4">
        <f t="shared" si="25"/>
        <v>0</v>
      </c>
      <c r="L138" s="4">
        <f t="shared" si="25"/>
        <v>336960</v>
      </c>
      <c r="M138" s="4">
        <f>SUM(M127:M137)</f>
        <v>16840</v>
      </c>
      <c r="N138" s="4">
        <f>M138</f>
        <v>16840</v>
      </c>
      <c r="O138" s="12"/>
    </row>
    <row r="139" spans="1:14" ht="12.75">
      <c r="A139" s="323"/>
      <c r="B139" s="337">
        <v>8</v>
      </c>
      <c r="C139" s="2" t="s">
        <v>29</v>
      </c>
      <c r="D139" s="2">
        <v>12</v>
      </c>
      <c r="E139" s="3">
        <f>20*D139*30</f>
        <v>7200</v>
      </c>
      <c r="F139" s="2">
        <f>15*D139*30</f>
        <v>5400</v>
      </c>
      <c r="G139" s="2">
        <f>2*D139*30</f>
        <v>720</v>
      </c>
      <c r="H139" s="3">
        <v>0</v>
      </c>
      <c r="I139" s="2">
        <v>0</v>
      </c>
      <c r="J139" s="6">
        <v>0</v>
      </c>
      <c r="K139" s="3">
        <v>0</v>
      </c>
      <c r="L139" s="2">
        <f>100*D139*30</f>
        <v>36000</v>
      </c>
      <c r="M139" s="2">
        <f>140*D139</f>
        <v>1680</v>
      </c>
      <c r="N139" s="2"/>
    </row>
    <row r="140" spans="1:14" ht="12.75">
      <c r="A140" s="323"/>
      <c r="B140" s="337"/>
      <c r="C140" s="2" t="s">
        <v>36</v>
      </c>
      <c r="D140" s="2">
        <v>72</v>
      </c>
      <c r="E140" s="2">
        <f>15*D140*30</f>
        <v>32400</v>
      </c>
      <c r="F140" s="2">
        <f>20*D140*30</f>
        <v>43200</v>
      </c>
      <c r="G140" s="2">
        <f>2*D140*30</f>
        <v>4320</v>
      </c>
      <c r="H140" s="2">
        <v>0</v>
      </c>
      <c r="I140" s="2">
        <v>0</v>
      </c>
      <c r="J140" s="6">
        <v>0</v>
      </c>
      <c r="K140" s="2">
        <v>0</v>
      </c>
      <c r="L140" s="2">
        <f>100*D140*30</f>
        <v>216000</v>
      </c>
      <c r="M140" s="2">
        <f>140*D140</f>
        <v>10080</v>
      </c>
      <c r="N140" s="2"/>
    </row>
    <row r="141" spans="1:14" ht="12.75">
      <c r="A141" s="323"/>
      <c r="B141" s="337"/>
      <c r="C141" s="2" t="s">
        <v>51</v>
      </c>
      <c r="D141" s="2">
        <v>24</v>
      </c>
      <c r="E141" s="2">
        <f>20*D141*30</f>
        <v>14400</v>
      </c>
      <c r="F141" s="2">
        <f>5*D141*30</f>
        <v>3600</v>
      </c>
      <c r="G141" s="2">
        <f>4*D141*30</f>
        <v>2880</v>
      </c>
      <c r="H141" s="2">
        <v>0</v>
      </c>
      <c r="I141" s="2">
        <v>0</v>
      </c>
      <c r="J141" s="6">
        <v>0</v>
      </c>
      <c r="K141" s="2">
        <v>0</v>
      </c>
      <c r="L141" s="2">
        <f>100*D141*30</f>
        <v>72000</v>
      </c>
      <c r="M141" s="2">
        <f>140*D141</f>
        <v>3360</v>
      </c>
      <c r="N141" s="2"/>
    </row>
    <row r="142" spans="1:14" ht="12.75">
      <c r="A142" s="323"/>
      <c r="B142" s="337"/>
      <c r="C142" s="2" t="s">
        <v>30</v>
      </c>
      <c r="D142" s="2">
        <v>10</v>
      </c>
      <c r="E142" s="3">
        <f>3*D142</f>
        <v>30</v>
      </c>
      <c r="F142" s="2">
        <v>0</v>
      </c>
      <c r="G142" s="2">
        <f>6*D142</f>
        <v>60</v>
      </c>
      <c r="H142" s="2">
        <f>10*D142</f>
        <v>100</v>
      </c>
      <c r="I142" s="2">
        <v>0</v>
      </c>
      <c r="J142" s="6">
        <v>0</v>
      </c>
      <c r="K142" s="2">
        <f>170*D142</f>
        <v>1700</v>
      </c>
      <c r="L142" s="2">
        <f aca="true" t="shared" si="26" ref="L142:L147">18*D142*30</f>
        <v>5400</v>
      </c>
      <c r="M142" s="2">
        <f>60*12</f>
        <v>720</v>
      </c>
      <c r="N142" s="2"/>
    </row>
    <row r="143" spans="1:14" ht="12.75">
      <c r="A143" s="323"/>
      <c r="B143" s="337"/>
      <c r="C143" s="2" t="s">
        <v>32</v>
      </c>
      <c r="D143" s="2">
        <v>0</v>
      </c>
      <c r="E143" s="2">
        <f>14*D143</f>
        <v>0</v>
      </c>
      <c r="F143" s="2">
        <v>0</v>
      </c>
      <c r="G143" s="2">
        <f>9*D143</f>
        <v>0</v>
      </c>
      <c r="H143" s="2">
        <f>45*D143</f>
        <v>0</v>
      </c>
      <c r="I143" s="2">
        <v>0</v>
      </c>
      <c r="J143" s="6">
        <v>0</v>
      </c>
      <c r="K143" s="2">
        <f>90*D143</f>
        <v>0</v>
      </c>
      <c r="L143" s="2">
        <f t="shared" si="26"/>
        <v>0</v>
      </c>
      <c r="M143" s="2">
        <v>0</v>
      </c>
      <c r="N143" s="2"/>
    </row>
    <row r="144" spans="1:14" ht="12.75">
      <c r="A144" s="323"/>
      <c r="B144" s="337"/>
      <c r="C144" s="2" t="s">
        <v>34</v>
      </c>
      <c r="D144" s="2">
        <v>0</v>
      </c>
      <c r="E144" s="2">
        <f>15*D144</f>
        <v>0</v>
      </c>
      <c r="F144" s="2">
        <v>0</v>
      </c>
      <c r="G144" s="2">
        <f>13*D144</f>
        <v>0</v>
      </c>
      <c r="H144" s="2">
        <f>72*D144</f>
        <v>0</v>
      </c>
      <c r="I144" s="2">
        <v>0</v>
      </c>
      <c r="J144" s="6">
        <v>0</v>
      </c>
      <c r="K144" s="2">
        <v>0</v>
      </c>
      <c r="L144" s="2">
        <f t="shared" si="26"/>
        <v>0</v>
      </c>
      <c r="M144" s="3">
        <v>0</v>
      </c>
      <c r="N144" s="2"/>
    </row>
    <row r="145" spans="1:14" ht="12.75">
      <c r="A145" s="323"/>
      <c r="B145" s="337"/>
      <c r="C145" s="2" t="s">
        <v>37</v>
      </c>
      <c r="D145" s="2">
        <v>0</v>
      </c>
      <c r="E145" s="2">
        <f>21*D145</f>
        <v>0</v>
      </c>
      <c r="F145" s="3">
        <v>0</v>
      </c>
      <c r="G145" s="2">
        <f>21*D145</f>
        <v>0</v>
      </c>
      <c r="H145" s="2">
        <f>80*D145</f>
        <v>0</v>
      </c>
      <c r="I145" s="3">
        <v>0</v>
      </c>
      <c r="J145" s="6">
        <v>0</v>
      </c>
      <c r="K145" s="3">
        <v>0</v>
      </c>
      <c r="L145" s="2">
        <f t="shared" si="26"/>
        <v>0</v>
      </c>
      <c r="M145" s="3">
        <v>0</v>
      </c>
      <c r="N145" s="2"/>
    </row>
    <row r="146" spans="1:14" ht="12.75">
      <c r="A146" s="323"/>
      <c r="B146" s="337"/>
      <c r="C146" s="2" t="s">
        <v>39</v>
      </c>
      <c r="D146" s="2">
        <v>0</v>
      </c>
      <c r="E146" s="2">
        <f>24*D146</f>
        <v>0</v>
      </c>
      <c r="F146" s="2">
        <f>20*D146</f>
        <v>0</v>
      </c>
      <c r="G146" s="2">
        <f>25*D146</f>
        <v>0</v>
      </c>
      <c r="H146" s="2">
        <f>83*D146</f>
        <v>0</v>
      </c>
      <c r="I146" s="2">
        <v>0</v>
      </c>
      <c r="J146" s="6">
        <v>0</v>
      </c>
      <c r="K146" s="2">
        <v>0</v>
      </c>
      <c r="L146" s="2">
        <f t="shared" si="26"/>
        <v>0</v>
      </c>
      <c r="M146" s="2">
        <f>1.5*30*D146</f>
        <v>0</v>
      </c>
      <c r="N146" s="2"/>
    </row>
    <row r="147" spans="1:14" ht="12.75">
      <c r="A147" s="323"/>
      <c r="B147" s="337"/>
      <c r="C147" s="2" t="s">
        <v>42</v>
      </c>
      <c r="D147" s="2">
        <v>0</v>
      </c>
      <c r="E147" s="2">
        <f>58*D147</f>
        <v>0</v>
      </c>
      <c r="F147" s="2">
        <f>44*D147</f>
        <v>0</v>
      </c>
      <c r="G147" s="2">
        <f>135*D147</f>
        <v>0</v>
      </c>
      <c r="H147" s="2">
        <f>78*D147</f>
        <v>0</v>
      </c>
      <c r="I147" s="2">
        <v>0</v>
      </c>
      <c r="J147" s="6">
        <v>0</v>
      </c>
      <c r="K147" s="2">
        <v>0</v>
      </c>
      <c r="L147" s="2">
        <f t="shared" si="26"/>
        <v>0</v>
      </c>
      <c r="M147" s="2">
        <f>1.5*30*D147</f>
        <v>0</v>
      </c>
      <c r="N147" s="2"/>
    </row>
    <row r="148" spans="1:14" ht="12.75">
      <c r="A148" s="323"/>
      <c r="B148" s="337"/>
      <c r="C148" s="2" t="s">
        <v>48</v>
      </c>
      <c r="D148" s="2">
        <v>6</v>
      </c>
      <c r="E148" s="2">
        <f>165*D148</f>
        <v>990</v>
      </c>
      <c r="F148" s="2">
        <f>105*D148</f>
        <v>630</v>
      </c>
      <c r="G148" s="2">
        <f>45*D148</f>
        <v>270</v>
      </c>
      <c r="H148" s="2">
        <v>0</v>
      </c>
      <c r="I148" s="2">
        <f>75*D148</f>
        <v>450</v>
      </c>
      <c r="J148" s="6">
        <v>0</v>
      </c>
      <c r="K148" s="2">
        <v>0</v>
      </c>
      <c r="L148" s="2">
        <f>24*D148*30</f>
        <v>4320</v>
      </c>
      <c r="M148" s="2">
        <f>3*30*D148</f>
        <v>540</v>
      </c>
      <c r="N148" s="2"/>
    </row>
    <row r="149" spans="1:14" ht="12.75">
      <c r="A149" s="323"/>
      <c r="B149" s="337"/>
      <c r="C149" s="2" t="s">
        <v>52</v>
      </c>
      <c r="D149" s="2">
        <v>9</v>
      </c>
      <c r="E149" s="2">
        <f>195*D149</f>
        <v>1755</v>
      </c>
      <c r="F149" s="2">
        <f>150*D149</f>
        <v>1350</v>
      </c>
      <c r="G149" s="2">
        <f>135*D149</f>
        <v>1215</v>
      </c>
      <c r="H149" s="2">
        <v>0</v>
      </c>
      <c r="I149" s="2">
        <f>60*D149</f>
        <v>540</v>
      </c>
      <c r="J149" s="6">
        <v>0</v>
      </c>
      <c r="K149" s="2">
        <v>0</v>
      </c>
      <c r="L149" s="2">
        <f>24*D149*30</f>
        <v>6480</v>
      </c>
      <c r="M149" s="2">
        <f>3*30*D149</f>
        <v>810</v>
      </c>
      <c r="N149" s="2"/>
    </row>
    <row r="150" spans="1:14" ht="12.75">
      <c r="A150" s="323"/>
      <c r="B150" s="337"/>
      <c r="C150" s="2" t="s">
        <v>53</v>
      </c>
      <c r="D150" s="2">
        <v>3</v>
      </c>
      <c r="E150" s="2">
        <f>240*D150</f>
        <v>720</v>
      </c>
      <c r="F150" s="2">
        <f>195*D150</f>
        <v>585</v>
      </c>
      <c r="G150" s="2">
        <f>45*D150</f>
        <v>135</v>
      </c>
      <c r="H150" s="2">
        <v>0</v>
      </c>
      <c r="I150" s="2">
        <f>60*D150</f>
        <v>180</v>
      </c>
      <c r="J150" s="6">
        <v>0</v>
      </c>
      <c r="K150" s="2">
        <v>0</v>
      </c>
      <c r="L150" s="2">
        <f>30*D150*30</f>
        <v>2700</v>
      </c>
      <c r="M150" s="2">
        <f>125+3*30*D150</f>
        <v>395</v>
      </c>
      <c r="N150" s="2"/>
    </row>
    <row r="151" spans="1:15" ht="12.75">
      <c r="A151" s="324"/>
      <c r="B151" s="332" t="s">
        <v>31</v>
      </c>
      <c r="C151" s="333"/>
      <c r="D151" s="4">
        <f>SUM(D139:D150)</f>
        <v>136</v>
      </c>
      <c r="E151" s="4">
        <f aca="true" t="shared" si="27" ref="E151:L151">SUM(E139:E150)</f>
        <v>57495</v>
      </c>
      <c r="F151" s="4">
        <f t="shared" si="27"/>
        <v>54765</v>
      </c>
      <c r="G151" s="4">
        <f t="shared" si="27"/>
        <v>9600</v>
      </c>
      <c r="H151" s="4">
        <f t="shared" si="27"/>
        <v>100</v>
      </c>
      <c r="I151" s="4">
        <f t="shared" si="27"/>
        <v>1170</v>
      </c>
      <c r="J151" s="6">
        <f t="shared" si="27"/>
        <v>0</v>
      </c>
      <c r="K151" s="4">
        <f t="shared" si="27"/>
        <v>1700</v>
      </c>
      <c r="L151" s="4">
        <f t="shared" si="27"/>
        <v>342900</v>
      </c>
      <c r="M151" s="4">
        <f>SUM(M139:M150)</f>
        <v>17585</v>
      </c>
      <c r="N151" s="4">
        <f>40*12+150*2+5*14*12+M151</f>
        <v>19205</v>
      </c>
      <c r="O151" s="12"/>
    </row>
    <row r="152" spans="1:14" ht="12.75">
      <c r="A152" s="322">
        <v>2</v>
      </c>
      <c r="B152" s="337">
        <v>9</v>
      </c>
      <c r="C152" s="2" t="s">
        <v>29</v>
      </c>
      <c r="D152" s="2">
        <v>24</v>
      </c>
      <c r="E152" s="3">
        <f>20*D152*30</f>
        <v>14400</v>
      </c>
      <c r="F152" s="2">
        <f>15*D152*30</f>
        <v>10800</v>
      </c>
      <c r="G152" s="2">
        <f>2*D152*30</f>
        <v>1440</v>
      </c>
      <c r="H152" s="3">
        <v>0</v>
      </c>
      <c r="I152" s="2">
        <v>0</v>
      </c>
      <c r="J152" s="6">
        <v>0</v>
      </c>
      <c r="K152" s="3">
        <v>0</v>
      </c>
      <c r="L152" s="2">
        <f>100*D152*30</f>
        <v>72000</v>
      </c>
      <c r="M152" s="2">
        <f>140*D152</f>
        <v>3360</v>
      </c>
      <c r="N152" s="2"/>
    </row>
    <row r="153" spans="1:14" ht="12.75">
      <c r="A153" s="323"/>
      <c r="B153" s="337"/>
      <c r="C153" s="2" t="s">
        <v>36</v>
      </c>
      <c r="D153" s="2">
        <v>60</v>
      </c>
      <c r="E153" s="2">
        <f>15*D153*30</f>
        <v>27000</v>
      </c>
      <c r="F153" s="2">
        <f>20*D153*30</f>
        <v>36000</v>
      </c>
      <c r="G153" s="2">
        <f>2*D153*30</f>
        <v>3600</v>
      </c>
      <c r="H153" s="2">
        <v>0</v>
      </c>
      <c r="I153" s="2">
        <v>0</v>
      </c>
      <c r="J153" s="6">
        <v>0</v>
      </c>
      <c r="K153" s="2">
        <v>0</v>
      </c>
      <c r="L153" s="2">
        <f>100*D153*30</f>
        <v>180000</v>
      </c>
      <c r="M153" s="2">
        <f>140*D153</f>
        <v>8400</v>
      </c>
      <c r="N153" s="2"/>
    </row>
    <row r="154" spans="1:14" ht="12.75">
      <c r="A154" s="323"/>
      <c r="B154" s="337"/>
      <c r="C154" s="2" t="s">
        <v>51</v>
      </c>
      <c r="D154" s="2">
        <v>24</v>
      </c>
      <c r="E154" s="2">
        <f>20*D154*30</f>
        <v>14400</v>
      </c>
      <c r="F154" s="2">
        <f>5*D154*30</f>
        <v>3600</v>
      </c>
      <c r="G154" s="2">
        <f>4*D154*30</f>
        <v>2880</v>
      </c>
      <c r="H154" s="2">
        <v>0</v>
      </c>
      <c r="I154" s="2">
        <v>0</v>
      </c>
      <c r="J154" s="6">
        <v>0</v>
      </c>
      <c r="K154" s="2">
        <v>0</v>
      </c>
      <c r="L154" s="2">
        <f>100*D154*30</f>
        <v>72000</v>
      </c>
      <c r="M154" s="2">
        <f>140*D154</f>
        <v>3360</v>
      </c>
      <c r="N154" s="2"/>
    </row>
    <row r="155" spans="1:14" ht="12.75">
      <c r="A155" s="323"/>
      <c r="B155" s="337"/>
      <c r="C155" s="2" t="s">
        <v>30</v>
      </c>
      <c r="D155" s="2">
        <v>10</v>
      </c>
      <c r="E155" s="3">
        <f>3*D155</f>
        <v>30</v>
      </c>
      <c r="F155" s="2">
        <v>0</v>
      </c>
      <c r="G155" s="2">
        <f>6*D155</f>
        <v>60</v>
      </c>
      <c r="H155" s="2">
        <f>10*D155</f>
        <v>100</v>
      </c>
      <c r="I155" s="2">
        <v>0</v>
      </c>
      <c r="J155" s="6">
        <v>0</v>
      </c>
      <c r="K155" s="2">
        <f>170*D155</f>
        <v>1700</v>
      </c>
      <c r="L155" s="2">
        <f aca="true" t="shared" si="28" ref="L155:L160">18*D155*30</f>
        <v>5400</v>
      </c>
      <c r="M155" s="3">
        <f>60*12</f>
        <v>720</v>
      </c>
      <c r="N155" s="2"/>
    </row>
    <row r="156" spans="1:14" ht="12.75">
      <c r="A156" s="323"/>
      <c r="B156" s="337"/>
      <c r="C156" s="2" t="s">
        <v>32</v>
      </c>
      <c r="D156" s="2">
        <v>2</v>
      </c>
      <c r="E156" s="2">
        <f>14*D156</f>
        <v>28</v>
      </c>
      <c r="F156" s="2">
        <v>0</v>
      </c>
      <c r="G156" s="2">
        <f>9*D156</f>
        <v>18</v>
      </c>
      <c r="H156" s="2">
        <f>45*D156</f>
        <v>90</v>
      </c>
      <c r="I156" s="2">
        <v>0</v>
      </c>
      <c r="J156" s="6">
        <v>0</v>
      </c>
      <c r="K156" s="2">
        <f>90*D156</f>
        <v>180</v>
      </c>
      <c r="L156" s="2">
        <f t="shared" si="28"/>
        <v>1080</v>
      </c>
      <c r="M156" s="2">
        <f>75+1.5*30*D156</f>
        <v>165</v>
      </c>
      <c r="N156" s="2"/>
    </row>
    <row r="157" spans="1:14" ht="12.75">
      <c r="A157" s="323"/>
      <c r="B157" s="337"/>
      <c r="C157" s="2" t="s">
        <v>34</v>
      </c>
      <c r="D157" s="2">
        <v>0</v>
      </c>
      <c r="E157" s="2">
        <f>15*D157</f>
        <v>0</v>
      </c>
      <c r="F157" s="2">
        <v>0</v>
      </c>
      <c r="G157" s="2">
        <f>13*D157</f>
        <v>0</v>
      </c>
      <c r="H157" s="2">
        <f>72*D157</f>
        <v>0</v>
      </c>
      <c r="I157" s="2">
        <v>0</v>
      </c>
      <c r="J157" s="6">
        <v>0</v>
      </c>
      <c r="K157" s="2">
        <v>0</v>
      </c>
      <c r="L157" s="2">
        <f t="shared" si="28"/>
        <v>0</v>
      </c>
      <c r="M157" s="3">
        <v>0</v>
      </c>
      <c r="N157" s="2"/>
    </row>
    <row r="158" spans="1:14" ht="12.75">
      <c r="A158" s="323"/>
      <c r="B158" s="337"/>
      <c r="C158" s="2" t="s">
        <v>37</v>
      </c>
      <c r="D158" s="2">
        <v>0</v>
      </c>
      <c r="E158" s="2">
        <f>21*D158</f>
        <v>0</v>
      </c>
      <c r="F158" s="3">
        <v>0</v>
      </c>
      <c r="G158" s="2">
        <f>21*D158</f>
        <v>0</v>
      </c>
      <c r="H158" s="2">
        <f>80*D158</f>
        <v>0</v>
      </c>
      <c r="I158" s="3">
        <v>0</v>
      </c>
      <c r="J158" s="6">
        <v>0</v>
      </c>
      <c r="K158" s="3">
        <v>0</v>
      </c>
      <c r="L158" s="2">
        <f t="shared" si="28"/>
        <v>0</v>
      </c>
      <c r="M158" s="3">
        <v>0</v>
      </c>
      <c r="N158" s="2"/>
    </row>
    <row r="159" spans="1:14" ht="12.75">
      <c r="A159" s="323"/>
      <c r="B159" s="337"/>
      <c r="C159" s="2" t="s">
        <v>39</v>
      </c>
      <c r="D159" s="2">
        <v>0</v>
      </c>
      <c r="E159" s="2">
        <f>24*D159</f>
        <v>0</v>
      </c>
      <c r="F159" s="2">
        <f>20*D159</f>
        <v>0</v>
      </c>
      <c r="G159" s="2">
        <f>25*D159</f>
        <v>0</v>
      </c>
      <c r="H159" s="2">
        <f>83*D159</f>
        <v>0</v>
      </c>
      <c r="I159" s="2">
        <v>0</v>
      </c>
      <c r="J159" s="6">
        <v>0</v>
      </c>
      <c r="K159" s="2">
        <v>0</v>
      </c>
      <c r="L159" s="2">
        <f t="shared" si="28"/>
        <v>0</v>
      </c>
      <c r="M159" s="3">
        <v>0</v>
      </c>
      <c r="N159" s="2"/>
    </row>
    <row r="160" spans="1:14" ht="12.75">
      <c r="A160" s="323"/>
      <c r="B160" s="337"/>
      <c r="C160" s="2" t="s">
        <v>42</v>
      </c>
      <c r="D160" s="2">
        <v>0</v>
      </c>
      <c r="E160" s="2">
        <f>58*D160</f>
        <v>0</v>
      </c>
      <c r="F160" s="2">
        <f>44*D160</f>
        <v>0</v>
      </c>
      <c r="G160" s="2">
        <f>135*D160</f>
        <v>0</v>
      </c>
      <c r="H160" s="2">
        <f>78*D160</f>
        <v>0</v>
      </c>
      <c r="I160" s="2">
        <v>0</v>
      </c>
      <c r="J160" s="6">
        <v>0</v>
      </c>
      <c r="K160" s="2">
        <v>0</v>
      </c>
      <c r="L160" s="2">
        <f t="shared" si="28"/>
        <v>0</v>
      </c>
      <c r="M160" s="2">
        <f>1.5*30*D160</f>
        <v>0</v>
      </c>
      <c r="N160" s="2"/>
    </row>
    <row r="161" spans="1:14" ht="12.75">
      <c r="A161" s="323"/>
      <c r="B161" s="337"/>
      <c r="C161" s="2" t="s">
        <v>48</v>
      </c>
      <c r="D161" s="2">
        <v>3</v>
      </c>
      <c r="E161" s="2">
        <f>165*D161</f>
        <v>495</v>
      </c>
      <c r="F161" s="2">
        <f>105*D161</f>
        <v>315</v>
      </c>
      <c r="G161" s="2">
        <f>45*D161</f>
        <v>135</v>
      </c>
      <c r="H161" s="2">
        <v>0</v>
      </c>
      <c r="I161" s="2">
        <f>75*D161</f>
        <v>225</v>
      </c>
      <c r="J161" s="6">
        <v>0</v>
      </c>
      <c r="K161" s="2">
        <v>0</v>
      </c>
      <c r="L161" s="2">
        <f>24*D161*30</f>
        <v>2160</v>
      </c>
      <c r="M161" s="2">
        <f>3*30*D161</f>
        <v>270</v>
      </c>
      <c r="N161" s="2"/>
    </row>
    <row r="162" spans="1:14" ht="12.75">
      <c r="A162" s="323"/>
      <c r="B162" s="337"/>
      <c r="C162" s="2" t="s">
        <v>52</v>
      </c>
      <c r="D162" s="2">
        <v>9</v>
      </c>
      <c r="E162" s="2">
        <f>195*D162</f>
        <v>1755</v>
      </c>
      <c r="F162" s="2">
        <f>150*D162</f>
        <v>1350</v>
      </c>
      <c r="G162" s="2">
        <f>135*D162</f>
        <v>1215</v>
      </c>
      <c r="H162" s="2">
        <v>0</v>
      </c>
      <c r="I162" s="2">
        <f>60*D162</f>
        <v>540</v>
      </c>
      <c r="J162" s="6">
        <v>0</v>
      </c>
      <c r="K162" s="2">
        <v>0</v>
      </c>
      <c r="L162" s="2">
        <f>24*D162*30</f>
        <v>6480</v>
      </c>
      <c r="M162" s="2">
        <f>3*30*D162</f>
        <v>810</v>
      </c>
      <c r="N162" s="2"/>
    </row>
    <row r="163" spans="1:14" ht="12.75">
      <c r="A163" s="323"/>
      <c r="B163" s="337"/>
      <c r="C163" s="2" t="s">
        <v>54</v>
      </c>
      <c r="D163" s="2">
        <v>6</v>
      </c>
      <c r="E163" s="2">
        <f>240*D163</f>
        <v>1440</v>
      </c>
      <c r="F163" s="2">
        <f>195*D163</f>
        <v>1170</v>
      </c>
      <c r="G163" s="2">
        <f>45*D163</f>
        <v>270</v>
      </c>
      <c r="H163" s="2">
        <v>0</v>
      </c>
      <c r="I163" s="2">
        <f>60*D163</f>
        <v>360</v>
      </c>
      <c r="J163" s="6">
        <v>0</v>
      </c>
      <c r="K163" s="2">
        <v>0</v>
      </c>
      <c r="L163" s="2">
        <f>30*D163*30</f>
        <v>5400</v>
      </c>
      <c r="M163" s="2">
        <f>3*30*D163</f>
        <v>540</v>
      </c>
      <c r="N163" s="2"/>
    </row>
    <row r="164" spans="1:15" ht="12.75">
      <c r="A164" s="323"/>
      <c r="B164" s="332" t="s">
        <v>33</v>
      </c>
      <c r="C164" s="333"/>
      <c r="D164" s="4">
        <f>SUM(D152:D163)</f>
        <v>138</v>
      </c>
      <c r="E164" s="4">
        <f aca="true" t="shared" si="29" ref="E164:L164">SUM(E152:E163)</f>
        <v>59548</v>
      </c>
      <c r="F164" s="4">
        <f t="shared" si="29"/>
        <v>53235</v>
      </c>
      <c r="G164" s="4">
        <f t="shared" si="29"/>
        <v>9618</v>
      </c>
      <c r="H164" s="4">
        <f t="shared" si="29"/>
        <v>190</v>
      </c>
      <c r="I164" s="4">
        <f t="shared" si="29"/>
        <v>1125</v>
      </c>
      <c r="J164" s="6">
        <f t="shared" si="29"/>
        <v>0</v>
      </c>
      <c r="K164" s="4">
        <f t="shared" si="29"/>
        <v>1880</v>
      </c>
      <c r="L164" s="4">
        <f t="shared" si="29"/>
        <v>344520</v>
      </c>
      <c r="M164" s="4">
        <f>SUM(M152:M163)</f>
        <v>17625</v>
      </c>
      <c r="N164" s="4">
        <f>40*12+150*2+5*14*12+M164</f>
        <v>19245</v>
      </c>
      <c r="O164" s="12"/>
    </row>
    <row r="165" spans="1:14" ht="12.75">
      <c r="A165" s="323"/>
      <c r="B165" s="337">
        <v>10</v>
      </c>
      <c r="C165" s="2" t="s">
        <v>29</v>
      </c>
      <c r="D165" s="2">
        <v>36</v>
      </c>
      <c r="E165" s="3">
        <f>20*D165*30</f>
        <v>21600</v>
      </c>
      <c r="F165" s="2">
        <f>15*D165*30</f>
        <v>16200</v>
      </c>
      <c r="G165" s="2">
        <f>2*D165*30</f>
        <v>2160</v>
      </c>
      <c r="H165" s="3">
        <v>0</v>
      </c>
      <c r="I165" s="2">
        <v>0</v>
      </c>
      <c r="J165" s="6">
        <v>0</v>
      </c>
      <c r="K165" s="3">
        <v>0</v>
      </c>
      <c r="L165" s="2">
        <f>100*D165*30</f>
        <v>108000</v>
      </c>
      <c r="M165" s="2">
        <f>140*D165</f>
        <v>5040</v>
      </c>
      <c r="N165" s="2"/>
    </row>
    <row r="166" spans="1:14" ht="12.75">
      <c r="A166" s="323"/>
      <c r="B166" s="337"/>
      <c r="C166" s="2" t="s">
        <v>36</v>
      </c>
      <c r="D166" s="2">
        <v>48</v>
      </c>
      <c r="E166" s="2">
        <f>15*D166*30</f>
        <v>21600</v>
      </c>
      <c r="F166" s="2">
        <f>20*D166*30</f>
        <v>28800</v>
      </c>
      <c r="G166" s="2">
        <f>2*D166*30</f>
        <v>2880</v>
      </c>
      <c r="H166" s="2">
        <v>0</v>
      </c>
      <c r="I166" s="2">
        <v>0</v>
      </c>
      <c r="J166" s="6">
        <v>0</v>
      </c>
      <c r="K166" s="2">
        <v>0</v>
      </c>
      <c r="L166" s="2">
        <f>100*D166*30</f>
        <v>144000</v>
      </c>
      <c r="M166" s="2">
        <f>140*D166</f>
        <v>6720</v>
      </c>
      <c r="N166" s="2"/>
    </row>
    <row r="167" spans="1:14" ht="12.75">
      <c r="A167" s="323"/>
      <c r="B167" s="337"/>
      <c r="C167" s="2" t="s">
        <v>51</v>
      </c>
      <c r="D167" s="2">
        <v>24</v>
      </c>
      <c r="E167" s="2">
        <f>20*D167*30</f>
        <v>14400</v>
      </c>
      <c r="F167" s="2">
        <f>5*D167*30</f>
        <v>3600</v>
      </c>
      <c r="G167" s="2">
        <f>4*D167*30</f>
        <v>2880</v>
      </c>
      <c r="H167" s="2">
        <v>0</v>
      </c>
      <c r="I167" s="2">
        <v>0</v>
      </c>
      <c r="J167" s="6">
        <v>0</v>
      </c>
      <c r="K167" s="2">
        <v>0</v>
      </c>
      <c r="L167" s="2">
        <f>100*D167*30</f>
        <v>72000</v>
      </c>
      <c r="M167" s="2">
        <f>140*D167</f>
        <v>3360</v>
      </c>
      <c r="N167" s="2"/>
    </row>
    <row r="168" spans="1:14" ht="12.75">
      <c r="A168" s="323"/>
      <c r="B168" s="337"/>
      <c r="C168" s="2" t="s">
        <v>30</v>
      </c>
      <c r="D168" s="2">
        <v>10</v>
      </c>
      <c r="E168" s="3">
        <f>3*D168</f>
        <v>30</v>
      </c>
      <c r="F168" s="2">
        <v>0</v>
      </c>
      <c r="G168" s="2">
        <f>6*D168</f>
        <v>60</v>
      </c>
      <c r="H168" s="2">
        <f>10*D168</f>
        <v>100</v>
      </c>
      <c r="I168" s="2">
        <v>0</v>
      </c>
      <c r="J168" s="6">
        <v>0</v>
      </c>
      <c r="K168" s="2">
        <f>170*D168</f>
        <v>1700</v>
      </c>
      <c r="L168" s="2">
        <f aca="true" t="shared" si="30" ref="L168:L173">18*D168*30</f>
        <v>5400</v>
      </c>
      <c r="M168" s="3">
        <f>60*12</f>
        <v>720</v>
      </c>
      <c r="N168" s="2"/>
    </row>
    <row r="169" spans="1:14" ht="12.75">
      <c r="A169" s="323"/>
      <c r="B169" s="337"/>
      <c r="C169" s="2" t="s">
        <v>32</v>
      </c>
      <c r="D169" s="2">
        <v>2</v>
      </c>
      <c r="E169" s="2">
        <f>14*D169</f>
        <v>28</v>
      </c>
      <c r="F169" s="2">
        <v>0</v>
      </c>
      <c r="G169" s="2">
        <f>9*D169</f>
        <v>18</v>
      </c>
      <c r="H169" s="2">
        <f>45*D169</f>
        <v>90</v>
      </c>
      <c r="I169" s="2">
        <v>0</v>
      </c>
      <c r="J169" s="6">
        <v>0</v>
      </c>
      <c r="K169" s="2">
        <f>90*D169</f>
        <v>180</v>
      </c>
      <c r="L169" s="2">
        <f t="shared" si="30"/>
        <v>1080</v>
      </c>
      <c r="M169" s="3">
        <f>75+1.5*30*D169</f>
        <v>165</v>
      </c>
      <c r="N169" s="2"/>
    </row>
    <row r="170" spans="1:14" ht="12.75">
      <c r="A170" s="323"/>
      <c r="B170" s="337"/>
      <c r="C170" s="2" t="s">
        <v>34</v>
      </c>
      <c r="D170" s="2">
        <v>2</v>
      </c>
      <c r="E170" s="2">
        <f>15*D170</f>
        <v>30</v>
      </c>
      <c r="F170" s="2">
        <v>0</v>
      </c>
      <c r="G170" s="2">
        <f>13*D170</f>
        <v>26</v>
      </c>
      <c r="H170" s="2">
        <f>72*D170</f>
        <v>144</v>
      </c>
      <c r="I170" s="2">
        <v>0</v>
      </c>
      <c r="J170" s="6">
        <v>0</v>
      </c>
      <c r="K170" s="2">
        <v>0</v>
      </c>
      <c r="L170" s="2">
        <f t="shared" si="30"/>
        <v>1080</v>
      </c>
      <c r="M170" s="3">
        <f>100+1.5*30*D170</f>
        <v>190</v>
      </c>
      <c r="N170" s="2"/>
    </row>
    <row r="171" spans="1:14" ht="12.75">
      <c r="A171" s="323"/>
      <c r="B171" s="337"/>
      <c r="C171" s="2" t="s">
        <v>37</v>
      </c>
      <c r="D171" s="2">
        <v>0</v>
      </c>
      <c r="E171" s="2">
        <f>21*D171</f>
        <v>0</v>
      </c>
      <c r="F171" s="3">
        <v>0</v>
      </c>
      <c r="G171" s="2">
        <f>21*D171</f>
        <v>0</v>
      </c>
      <c r="H171" s="2">
        <f>80*D171</f>
        <v>0</v>
      </c>
      <c r="I171" s="3">
        <v>0</v>
      </c>
      <c r="J171" s="6">
        <v>0</v>
      </c>
      <c r="K171" s="3">
        <v>0</v>
      </c>
      <c r="L171" s="2">
        <f t="shared" si="30"/>
        <v>0</v>
      </c>
      <c r="M171" s="3">
        <v>0</v>
      </c>
      <c r="N171" s="2"/>
    </row>
    <row r="172" spans="1:14" ht="12.75">
      <c r="A172" s="323"/>
      <c r="B172" s="337"/>
      <c r="C172" s="2" t="s">
        <v>39</v>
      </c>
      <c r="D172" s="2">
        <v>0</v>
      </c>
      <c r="E172" s="2">
        <f>24*D172</f>
        <v>0</v>
      </c>
      <c r="F172" s="2">
        <f>20*D172</f>
        <v>0</v>
      </c>
      <c r="G172" s="2">
        <f>25*D172</f>
        <v>0</v>
      </c>
      <c r="H172" s="2">
        <f>83*D172</f>
        <v>0</v>
      </c>
      <c r="I172" s="2">
        <v>0</v>
      </c>
      <c r="J172" s="6">
        <v>0</v>
      </c>
      <c r="K172" s="2">
        <v>0</v>
      </c>
      <c r="L172" s="2">
        <f t="shared" si="30"/>
        <v>0</v>
      </c>
      <c r="M172" s="3">
        <v>0</v>
      </c>
      <c r="N172" s="2"/>
    </row>
    <row r="173" spans="1:14" ht="12.75">
      <c r="A173" s="323"/>
      <c r="B173" s="337"/>
      <c r="C173" s="2" t="s">
        <v>42</v>
      </c>
      <c r="D173" s="2">
        <v>0</v>
      </c>
      <c r="E173" s="2">
        <f>58*D173</f>
        <v>0</v>
      </c>
      <c r="F173" s="2">
        <f>44*D173</f>
        <v>0</v>
      </c>
      <c r="G173" s="2">
        <f>135*D173</f>
        <v>0</v>
      </c>
      <c r="H173" s="2">
        <f>78*D173</f>
        <v>0</v>
      </c>
      <c r="I173" s="2">
        <v>0</v>
      </c>
      <c r="J173" s="6">
        <v>0</v>
      </c>
      <c r="K173" s="2">
        <v>0</v>
      </c>
      <c r="L173" s="2">
        <f t="shared" si="30"/>
        <v>0</v>
      </c>
      <c r="M173" s="3">
        <v>0</v>
      </c>
      <c r="N173" s="2"/>
    </row>
    <row r="174" spans="1:14" ht="12.75">
      <c r="A174" s="323"/>
      <c r="B174" s="337"/>
      <c r="C174" s="2" t="s">
        <v>48</v>
      </c>
      <c r="D174" s="2">
        <v>0</v>
      </c>
      <c r="E174" s="2">
        <f>165*D174</f>
        <v>0</v>
      </c>
      <c r="F174" s="2">
        <f>105*D174</f>
        <v>0</v>
      </c>
      <c r="G174" s="2">
        <f>45*D174</f>
        <v>0</v>
      </c>
      <c r="H174" s="2">
        <v>0</v>
      </c>
      <c r="I174" s="2">
        <f>75*D174</f>
        <v>0</v>
      </c>
      <c r="J174" s="6">
        <v>0</v>
      </c>
      <c r="K174" s="2">
        <v>0</v>
      </c>
      <c r="L174" s="2">
        <f>24*D174*30</f>
        <v>0</v>
      </c>
      <c r="M174" s="2">
        <v>0</v>
      </c>
      <c r="N174" s="2"/>
    </row>
    <row r="175" spans="1:14" ht="12.75">
      <c r="A175" s="323"/>
      <c r="B175" s="337"/>
      <c r="C175" s="2" t="s">
        <v>52</v>
      </c>
      <c r="D175" s="2">
        <v>9</v>
      </c>
      <c r="E175" s="2">
        <f>195*D175</f>
        <v>1755</v>
      </c>
      <c r="F175" s="2">
        <f>150*D175</f>
        <v>1350</v>
      </c>
      <c r="G175" s="2">
        <f>135*D175</f>
        <v>1215</v>
      </c>
      <c r="H175" s="2">
        <v>0</v>
      </c>
      <c r="I175" s="2">
        <f>60*D175</f>
        <v>540</v>
      </c>
      <c r="J175" s="6">
        <v>0</v>
      </c>
      <c r="K175" s="2">
        <v>0</v>
      </c>
      <c r="L175" s="2">
        <f>24*D175*30</f>
        <v>6480</v>
      </c>
      <c r="M175" s="2">
        <f>3*30*D175</f>
        <v>810</v>
      </c>
      <c r="N175" s="2"/>
    </row>
    <row r="176" spans="1:14" ht="12.75">
      <c r="A176" s="323"/>
      <c r="B176" s="337"/>
      <c r="C176" s="2" t="s">
        <v>55</v>
      </c>
      <c r="D176" s="2">
        <v>9</v>
      </c>
      <c r="E176" s="2">
        <f>240*D176</f>
        <v>2160</v>
      </c>
      <c r="F176" s="2">
        <f>195*D176</f>
        <v>1755</v>
      </c>
      <c r="G176" s="2">
        <f>45*D176</f>
        <v>405</v>
      </c>
      <c r="H176" s="2">
        <v>0</v>
      </c>
      <c r="I176" s="2">
        <f>60*D176</f>
        <v>540</v>
      </c>
      <c r="J176" s="6">
        <v>0</v>
      </c>
      <c r="K176" s="2">
        <v>0</v>
      </c>
      <c r="L176" s="2">
        <f>30*D176*30</f>
        <v>8100</v>
      </c>
      <c r="M176" s="2">
        <f>125+3*30*D176</f>
        <v>935</v>
      </c>
      <c r="N176" s="2"/>
    </row>
    <row r="177" spans="1:15" ht="12.75">
      <c r="A177" s="323"/>
      <c r="B177" s="332" t="s">
        <v>35</v>
      </c>
      <c r="C177" s="333"/>
      <c r="D177" s="4">
        <f>SUM(D165:D176)</f>
        <v>140</v>
      </c>
      <c r="E177" s="4">
        <f aca="true" t="shared" si="31" ref="E177:L177">SUM(E165:E176)</f>
        <v>61603</v>
      </c>
      <c r="F177" s="4">
        <f t="shared" si="31"/>
        <v>51705</v>
      </c>
      <c r="G177" s="4">
        <f t="shared" si="31"/>
        <v>9644</v>
      </c>
      <c r="H177" s="4">
        <f t="shared" si="31"/>
        <v>334</v>
      </c>
      <c r="I177" s="4">
        <f t="shared" si="31"/>
        <v>1080</v>
      </c>
      <c r="J177" s="6">
        <f t="shared" si="31"/>
        <v>0</v>
      </c>
      <c r="K177" s="4">
        <f t="shared" si="31"/>
        <v>1880</v>
      </c>
      <c r="L177" s="4">
        <f t="shared" si="31"/>
        <v>346140</v>
      </c>
      <c r="M177" s="4">
        <f>SUM(M165:M176)</f>
        <v>17940</v>
      </c>
      <c r="N177" s="4">
        <f>12*40+150*2+5*14*12+M177</f>
        <v>19560</v>
      </c>
      <c r="O177" s="12"/>
    </row>
    <row r="178" spans="1:14" ht="12.75">
      <c r="A178" s="323"/>
      <c r="B178" s="337">
        <v>11</v>
      </c>
      <c r="C178" s="2" t="s">
        <v>29</v>
      </c>
      <c r="D178" s="2">
        <v>48</v>
      </c>
      <c r="E178" s="3">
        <f>20*D178*30</f>
        <v>28800</v>
      </c>
      <c r="F178" s="2">
        <f>15*D178*30</f>
        <v>21600</v>
      </c>
      <c r="G178" s="2">
        <f>2*D178*30</f>
        <v>2880</v>
      </c>
      <c r="H178" s="3">
        <v>0</v>
      </c>
      <c r="I178" s="2">
        <v>0</v>
      </c>
      <c r="J178" s="6">
        <v>0</v>
      </c>
      <c r="K178" s="3">
        <v>0</v>
      </c>
      <c r="L178" s="2">
        <f>100*D178*30</f>
        <v>144000</v>
      </c>
      <c r="M178" s="2">
        <f>140*D178</f>
        <v>6720</v>
      </c>
      <c r="N178" s="2"/>
    </row>
    <row r="179" spans="1:14" ht="12.75">
      <c r="A179" s="323"/>
      <c r="B179" s="337"/>
      <c r="C179" s="2" t="s">
        <v>36</v>
      </c>
      <c r="D179" s="2">
        <v>36</v>
      </c>
      <c r="E179" s="2">
        <f>15*D179*30</f>
        <v>16200</v>
      </c>
      <c r="F179" s="2">
        <f>20*D179*30</f>
        <v>21600</v>
      </c>
      <c r="G179" s="2">
        <f>2*D179*30</f>
        <v>2160</v>
      </c>
      <c r="H179" s="2">
        <v>0</v>
      </c>
      <c r="I179" s="2">
        <v>0</v>
      </c>
      <c r="J179" s="6">
        <v>0</v>
      </c>
      <c r="K179" s="2">
        <v>0</v>
      </c>
      <c r="L179" s="2">
        <f>100*D179*30</f>
        <v>108000</v>
      </c>
      <c r="M179" s="2">
        <f>140*D179</f>
        <v>5040</v>
      </c>
      <c r="N179" s="2"/>
    </row>
    <row r="180" spans="1:14" ht="12.75">
      <c r="A180" s="323"/>
      <c r="B180" s="337"/>
      <c r="C180" s="2" t="s">
        <v>51</v>
      </c>
      <c r="D180" s="2">
        <v>24</v>
      </c>
      <c r="E180" s="2">
        <f>20*D180*30</f>
        <v>14400</v>
      </c>
      <c r="F180" s="2">
        <f>5*D180*30</f>
        <v>3600</v>
      </c>
      <c r="G180" s="2">
        <f>4*D180*30</f>
        <v>2880</v>
      </c>
      <c r="H180" s="2">
        <v>0</v>
      </c>
      <c r="I180" s="2">
        <v>0</v>
      </c>
      <c r="J180" s="6">
        <v>0</v>
      </c>
      <c r="K180" s="2">
        <v>0</v>
      </c>
      <c r="L180" s="2">
        <f>100*D180*30</f>
        <v>72000</v>
      </c>
      <c r="M180" s="2">
        <f>140*D180</f>
        <v>3360</v>
      </c>
      <c r="N180" s="2"/>
    </row>
    <row r="181" spans="1:14" ht="12.75">
      <c r="A181" s="323"/>
      <c r="B181" s="337"/>
      <c r="C181" s="2" t="s">
        <v>30</v>
      </c>
      <c r="D181" s="2">
        <v>10</v>
      </c>
      <c r="E181" s="3">
        <f>3*D181</f>
        <v>30</v>
      </c>
      <c r="F181" s="2">
        <v>0</v>
      </c>
      <c r="G181" s="2">
        <f>6*D181</f>
        <v>60</v>
      </c>
      <c r="H181" s="2">
        <f>10*D181</f>
        <v>100</v>
      </c>
      <c r="I181" s="2">
        <v>0</v>
      </c>
      <c r="J181" s="6">
        <v>0</v>
      </c>
      <c r="K181" s="2">
        <f>170*D181</f>
        <v>1700</v>
      </c>
      <c r="L181" s="2">
        <f aca="true" t="shared" si="32" ref="L181:L186">18*D181*30</f>
        <v>5400</v>
      </c>
      <c r="M181" s="3">
        <f>60*12</f>
        <v>720</v>
      </c>
      <c r="N181" s="2"/>
    </row>
    <row r="182" spans="1:14" ht="12.75">
      <c r="A182" s="323"/>
      <c r="B182" s="337"/>
      <c r="C182" s="2" t="s">
        <v>32</v>
      </c>
      <c r="D182" s="2">
        <v>2</v>
      </c>
      <c r="E182" s="2">
        <f>14*D182</f>
        <v>28</v>
      </c>
      <c r="F182" s="2">
        <v>0</v>
      </c>
      <c r="G182" s="2">
        <f>9*D182</f>
        <v>18</v>
      </c>
      <c r="H182" s="2">
        <f>45*D182</f>
        <v>90</v>
      </c>
      <c r="I182" s="2">
        <v>0</v>
      </c>
      <c r="J182" s="6">
        <v>0</v>
      </c>
      <c r="K182" s="2">
        <f>90*D182</f>
        <v>180</v>
      </c>
      <c r="L182" s="2">
        <f t="shared" si="32"/>
        <v>1080</v>
      </c>
      <c r="M182" s="3">
        <f>75+1.5*30*D182</f>
        <v>165</v>
      </c>
      <c r="N182" s="2"/>
    </row>
    <row r="183" spans="1:14" ht="12.75">
      <c r="A183" s="323"/>
      <c r="B183" s="337"/>
      <c r="C183" s="2" t="s">
        <v>34</v>
      </c>
      <c r="D183" s="2">
        <v>2</v>
      </c>
      <c r="E183" s="2">
        <f>15*D183</f>
        <v>30</v>
      </c>
      <c r="F183" s="2">
        <v>0</v>
      </c>
      <c r="G183" s="2">
        <f>13*D183</f>
        <v>26</v>
      </c>
      <c r="H183" s="2">
        <f>72*D183</f>
        <v>144</v>
      </c>
      <c r="I183" s="2">
        <v>0</v>
      </c>
      <c r="J183" s="6">
        <v>0</v>
      </c>
      <c r="K183" s="2">
        <v>0</v>
      </c>
      <c r="L183" s="2">
        <f t="shared" si="32"/>
        <v>1080</v>
      </c>
      <c r="M183" s="2">
        <f>1.5*30*D183</f>
        <v>90</v>
      </c>
      <c r="N183" s="2"/>
    </row>
    <row r="184" spans="1:14" ht="12.75">
      <c r="A184" s="323"/>
      <c r="B184" s="337"/>
      <c r="C184" s="2" t="s">
        <v>37</v>
      </c>
      <c r="D184" s="2">
        <v>2</v>
      </c>
      <c r="E184" s="2">
        <f>21*D184</f>
        <v>42</v>
      </c>
      <c r="F184" s="3">
        <v>0</v>
      </c>
      <c r="G184" s="2">
        <f>21*D184</f>
        <v>42</v>
      </c>
      <c r="H184" s="2">
        <f>80*D184</f>
        <v>160</v>
      </c>
      <c r="I184" s="3">
        <v>0</v>
      </c>
      <c r="J184" s="6">
        <v>0</v>
      </c>
      <c r="K184" s="3">
        <v>0</v>
      </c>
      <c r="L184" s="2">
        <f t="shared" si="32"/>
        <v>1080</v>
      </c>
      <c r="M184" s="2">
        <f>1.5*30*D184</f>
        <v>90</v>
      </c>
      <c r="N184" s="2"/>
    </row>
    <row r="185" spans="1:14" ht="12.75">
      <c r="A185" s="323"/>
      <c r="B185" s="337"/>
      <c r="C185" s="2" t="s">
        <v>39</v>
      </c>
      <c r="D185" s="2">
        <v>0</v>
      </c>
      <c r="E185" s="2">
        <f>24*D185</f>
        <v>0</v>
      </c>
      <c r="F185" s="2">
        <f>20*D185</f>
        <v>0</v>
      </c>
      <c r="G185" s="2">
        <f>25*D185</f>
        <v>0</v>
      </c>
      <c r="H185" s="2">
        <f>83*D185</f>
        <v>0</v>
      </c>
      <c r="I185" s="2">
        <v>0</v>
      </c>
      <c r="J185" s="6">
        <v>0</v>
      </c>
      <c r="K185" s="2">
        <v>0</v>
      </c>
      <c r="L185" s="2">
        <f t="shared" si="32"/>
        <v>0</v>
      </c>
      <c r="M185" s="3">
        <v>0</v>
      </c>
      <c r="N185" s="2"/>
    </row>
    <row r="186" spans="1:14" ht="12.75">
      <c r="A186" s="323"/>
      <c r="B186" s="337"/>
      <c r="C186" s="2" t="s">
        <v>42</v>
      </c>
      <c r="D186" s="2">
        <v>0</v>
      </c>
      <c r="E186" s="2">
        <f>58*D186</f>
        <v>0</v>
      </c>
      <c r="F186" s="2">
        <f>44*D186</f>
        <v>0</v>
      </c>
      <c r="G186" s="2">
        <f>135*D186</f>
        <v>0</v>
      </c>
      <c r="H186" s="2">
        <f>78*D186</f>
        <v>0</v>
      </c>
      <c r="I186" s="2">
        <v>0</v>
      </c>
      <c r="J186" s="6">
        <v>0</v>
      </c>
      <c r="K186" s="2">
        <v>0</v>
      </c>
      <c r="L186" s="2">
        <f t="shared" si="32"/>
        <v>0</v>
      </c>
      <c r="M186" s="3">
        <v>0</v>
      </c>
      <c r="N186" s="2"/>
    </row>
    <row r="187" spans="1:14" ht="12.75">
      <c r="A187" s="323"/>
      <c r="B187" s="337"/>
      <c r="C187" s="2" t="s">
        <v>48</v>
      </c>
      <c r="D187" s="2">
        <v>0</v>
      </c>
      <c r="E187" s="2">
        <f>165*D187</f>
        <v>0</v>
      </c>
      <c r="F187" s="2">
        <f>105*D187</f>
        <v>0</v>
      </c>
      <c r="G187" s="2">
        <f>45*D187</f>
        <v>0</v>
      </c>
      <c r="H187" s="2">
        <v>0</v>
      </c>
      <c r="I187" s="2">
        <f>75*D187</f>
        <v>0</v>
      </c>
      <c r="J187" s="6">
        <v>0</v>
      </c>
      <c r="K187" s="2">
        <v>0</v>
      </c>
      <c r="L187" s="2">
        <f>24*D187*30</f>
        <v>0</v>
      </c>
      <c r="M187" s="2">
        <f>3*30*D187</f>
        <v>0</v>
      </c>
      <c r="N187" s="2"/>
    </row>
    <row r="188" spans="1:14" ht="12.75">
      <c r="A188" s="323"/>
      <c r="B188" s="337"/>
      <c r="C188" s="2" t="s">
        <v>52</v>
      </c>
      <c r="D188" s="2">
        <v>6</v>
      </c>
      <c r="E188" s="2">
        <f>195*D188</f>
        <v>1170</v>
      </c>
      <c r="F188" s="2">
        <f>150*D188</f>
        <v>900</v>
      </c>
      <c r="G188" s="2">
        <f>135*D188</f>
        <v>810</v>
      </c>
      <c r="H188" s="2">
        <v>0</v>
      </c>
      <c r="I188" s="2">
        <f>60*D188</f>
        <v>360</v>
      </c>
      <c r="J188" s="6">
        <v>0</v>
      </c>
      <c r="K188" s="2">
        <v>0</v>
      </c>
      <c r="L188" s="2">
        <f>24*D188*30</f>
        <v>4320</v>
      </c>
      <c r="M188" s="2">
        <f>3*30*D188</f>
        <v>540</v>
      </c>
      <c r="N188" s="2"/>
    </row>
    <row r="189" spans="1:14" ht="12.75">
      <c r="A189" s="323"/>
      <c r="B189" s="337"/>
      <c r="C189" s="2" t="s">
        <v>55</v>
      </c>
      <c r="D189" s="2">
        <v>9</v>
      </c>
      <c r="E189" s="2">
        <f>240*D189</f>
        <v>2160</v>
      </c>
      <c r="F189" s="2">
        <f>195*D189</f>
        <v>1755</v>
      </c>
      <c r="G189" s="2">
        <f>45*D189</f>
        <v>405</v>
      </c>
      <c r="H189" s="2">
        <v>0</v>
      </c>
      <c r="I189" s="2">
        <f>60*D189</f>
        <v>540</v>
      </c>
      <c r="J189" s="6">
        <v>0</v>
      </c>
      <c r="K189" s="2">
        <v>0</v>
      </c>
      <c r="L189" s="2">
        <f>30*D189*30</f>
        <v>8100</v>
      </c>
      <c r="M189" s="2">
        <f>3*30*D189</f>
        <v>810</v>
      </c>
      <c r="N189" s="2"/>
    </row>
    <row r="190" spans="1:14" ht="12.75">
      <c r="A190" s="323"/>
      <c r="B190" s="337"/>
      <c r="C190" s="2" t="s">
        <v>56</v>
      </c>
      <c r="D190" s="2">
        <v>3</v>
      </c>
      <c r="E190" s="2">
        <f>255*D190</f>
        <v>765</v>
      </c>
      <c r="F190" s="2">
        <f>210*D190</f>
        <v>630</v>
      </c>
      <c r="G190" s="2">
        <f>60*D190</f>
        <v>180</v>
      </c>
      <c r="H190" s="2">
        <v>0</v>
      </c>
      <c r="I190" s="2">
        <f>51*D190</f>
        <v>153</v>
      </c>
      <c r="J190" s="6">
        <v>0</v>
      </c>
      <c r="K190" s="2">
        <v>0</v>
      </c>
      <c r="L190" s="2">
        <f>35*D190*30</f>
        <v>3150</v>
      </c>
      <c r="M190" s="2">
        <f>100+3*30*D190</f>
        <v>370</v>
      </c>
      <c r="N190" s="2"/>
    </row>
    <row r="191" spans="1:15" ht="12.75">
      <c r="A191" s="323"/>
      <c r="B191" s="332" t="s">
        <v>38</v>
      </c>
      <c r="C191" s="333"/>
      <c r="D191" s="4">
        <f>SUM(D178:D190)</f>
        <v>142</v>
      </c>
      <c r="E191" s="4">
        <f aca="true" t="shared" si="33" ref="E191:L191">SUM(E178:E190)</f>
        <v>63625</v>
      </c>
      <c r="F191" s="4">
        <f t="shared" si="33"/>
        <v>50085</v>
      </c>
      <c r="G191" s="4">
        <f t="shared" si="33"/>
        <v>9461</v>
      </c>
      <c r="H191" s="4">
        <f t="shared" si="33"/>
        <v>494</v>
      </c>
      <c r="I191" s="4">
        <f t="shared" si="33"/>
        <v>1053</v>
      </c>
      <c r="J191" s="6">
        <f t="shared" si="33"/>
        <v>0</v>
      </c>
      <c r="K191" s="4">
        <f t="shared" si="33"/>
        <v>1880</v>
      </c>
      <c r="L191" s="4">
        <f t="shared" si="33"/>
        <v>348210</v>
      </c>
      <c r="M191" s="4">
        <f>SUM(M178:M190)</f>
        <v>17905</v>
      </c>
      <c r="N191" s="4">
        <f>12*40+150*2+5*14*12+M191</f>
        <v>19525</v>
      </c>
      <c r="O191" s="12"/>
    </row>
    <row r="192" spans="1:14" ht="12.75">
      <c r="A192" s="323"/>
      <c r="B192" s="337">
        <v>12</v>
      </c>
      <c r="C192" s="2" t="s">
        <v>29</v>
      </c>
      <c r="D192" s="2">
        <v>48</v>
      </c>
      <c r="E192" s="3">
        <f>20*D192*30</f>
        <v>28800</v>
      </c>
      <c r="F192" s="2">
        <f>15*D192*30</f>
        <v>21600</v>
      </c>
      <c r="G192" s="2">
        <f>2*D192*30</f>
        <v>2880</v>
      </c>
      <c r="H192" s="3">
        <v>0</v>
      </c>
      <c r="I192" s="2">
        <v>0</v>
      </c>
      <c r="J192" s="6">
        <v>0</v>
      </c>
      <c r="K192" s="3">
        <v>0</v>
      </c>
      <c r="L192" s="2">
        <f>100*D192*30</f>
        <v>144000</v>
      </c>
      <c r="M192" s="2">
        <f>140*D192</f>
        <v>6720</v>
      </c>
      <c r="N192" s="2"/>
    </row>
    <row r="193" spans="1:14" ht="12.75">
      <c r="A193" s="323"/>
      <c r="B193" s="337"/>
      <c r="C193" s="2" t="s">
        <v>36</v>
      </c>
      <c r="D193" s="2">
        <v>36</v>
      </c>
      <c r="E193" s="2">
        <f>15*D193*30</f>
        <v>16200</v>
      </c>
      <c r="F193" s="2">
        <f>20*D193*30</f>
        <v>21600</v>
      </c>
      <c r="G193" s="2">
        <f>2*D193*30</f>
        <v>2160</v>
      </c>
      <c r="H193" s="2">
        <v>0</v>
      </c>
      <c r="I193" s="2">
        <v>0</v>
      </c>
      <c r="J193" s="6">
        <v>0</v>
      </c>
      <c r="K193" s="2">
        <v>0</v>
      </c>
      <c r="L193" s="2">
        <f>100*D193*30</f>
        <v>108000</v>
      </c>
      <c r="M193" s="2">
        <f>140*D193</f>
        <v>5040</v>
      </c>
      <c r="N193" s="2"/>
    </row>
    <row r="194" spans="1:14" ht="12.75">
      <c r="A194" s="323"/>
      <c r="B194" s="337"/>
      <c r="C194" s="2" t="s">
        <v>51</v>
      </c>
      <c r="D194" s="2">
        <v>24</v>
      </c>
      <c r="E194" s="2">
        <f>20*D194*30</f>
        <v>14400</v>
      </c>
      <c r="F194" s="2">
        <f>5*D194*30</f>
        <v>3600</v>
      </c>
      <c r="G194" s="2">
        <f>4*D194*30</f>
        <v>2880</v>
      </c>
      <c r="H194" s="2">
        <v>0</v>
      </c>
      <c r="I194" s="2">
        <v>0</v>
      </c>
      <c r="J194" s="6">
        <v>0</v>
      </c>
      <c r="K194" s="2">
        <v>0</v>
      </c>
      <c r="L194" s="2">
        <f>100*D194*30</f>
        <v>72000</v>
      </c>
      <c r="M194" s="2">
        <f>140*D194</f>
        <v>3360</v>
      </c>
      <c r="N194" s="2"/>
    </row>
    <row r="195" spans="1:14" ht="12.75">
      <c r="A195" s="323"/>
      <c r="B195" s="337"/>
      <c r="C195" s="2" t="s">
        <v>30</v>
      </c>
      <c r="D195" s="2">
        <v>10</v>
      </c>
      <c r="E195" s="3">
        <f>3*D195</f>
        <v>30</v>
      </c>
      <c r="F195" s="2">
        <v>0</v>
      </c>
      <c r="G195" s="2">
        <f>6*D195</f>
        <v>60</v>
      </c>
      <c r="H195" s="2">
        <f>10*D195</f>
        <v>100</v>
      </c>
      <c r="I195" s="2">
        <v>0</v>
      </c>
      <c r="J195" s="6">
        <v>0</v>
      </c>
      <c r="K195" s="2">
        <f>170*D195</f>
        <v>1700</v>
      </c>
      <c r="L195" s="2">
        <f aca="true" t="shared" si="34" ref="L195:L200">18*D195*30</f>
        <v>5400</v>
      </c>
      <c r="M195" s="3">
        <f>60*12</f>
        <v>720</v>
      </c>
      <c r="N195" s="2"/>
    </row>
    <row r="196" spans="1:14" ht="12.75">
      <c r="A196" s="323"/>
      <c r="B196" s="337"/>
      <c r="C196" s="2" t="s">
        <v>32</v>
      </c>
      <c r="D196" s="2">
        <v>2</v>
      </c>
      <c r="E196" s="2">
        <f>14*D196</f>
        <v>28</v>
      </c>
      <c r="F196" s="2">
        <v>0</v>
      </c>
      <c r="G196" s="2">
        <f>9*D196</f>
        <v>18</v>
      </c>
      <c r="H196" s="2">
        <f>45*D196</f>
        <v>90</v>
      </c>
      <c r="I196" s="2">
        <v>0</v>
      </c>
      <c r="J196" s="6">
        <v>0</v>
      </c>
      <c r="K196" s="2">
        <f>90*D196</f>
        <v>180</v>
      </c>
      <c r="L196" s="2">
        <f t="shared" si="34"/>
        <v>1080</v>
      </c>
      <c r="M196" s="3">
        <f>75+1.5*30*D196</f>
        <v>165</v>
      </c>
      <c r="N196" s="2"/>
    </row>
    <row r="197" spans="1:14" ht="12.75">
      <c r="A197" s="323"/>
      <c r="B197" s="337"/>
      <c r="C197" s="2" t="s">
        <v>34</v>
      </c>
      <c r="D197" s="2">
        <v>2</v>
      </c>
      <c r="E197" s="2">
        <f>15*D197</f>
        <v>30</v>
      </c>
      <c r="F197" s="2">
        <v>0</v>
      </c>
      <c r="G197" s="2">
        <f>13*D197</f>
        <v>26</v>
      </c>
      <c r="H197" s="2">
        <f>72*D197</f>
        <v>144</v>
      </c>
      <c r="I197" s="2">
        <v>0</v>
      </c>
      <c r="J197" s="6">
        <v>0</v>
      </c>
      <c r="K197" s="2">
        <v>0</v>
      </c>
      <c r="L197" s="2">
        <f t="shared" si="34"/>
        <v>1080</v>
      </c>
      <c r="M197" s="2">
        <f>1.5*30*D197</f>
        <v>90</v>
      </c>
      <c r="N197" s="2"/>
    </row>
    <row r="198" spans="1:14" ht="12.75">
      <c r="A198" s="323"/>
      <c r="B198" s="337"/>
      <c r="C198" s="2" t="s">
        <v>37</v>
      </c>
      <c r="D198" s="2">
        <v>2</v>
      </c>
      <c r="E198" s="2">
        <f>21*D198</f>
        <v>42</v>
      </c>
      <c r="F198" s="3">
        <v>0</v>
      </c>
      <c r="G198" s="2">
        <f>21*D198</f>
        <v>42</v>
      </c>
      <c r="H198" s="2">
        <f>80*D198</f>
        <v>160</v>
      </c>
      <c r="I198" s="3">
        <v>0</v>
      </c>
      <c r="J198" s="6">
        <v>0</v>
      </c>
      <c r="K198" s="3">
        <v>0</v>
      </c>
      <c r="L198" s="2">
        <f t="shared" si="34"/>
        <v>1080</v>
      </c>
      <c r="M198" s="2">
        <f>1.5*30*D198</f>
        <v>90</v>
      </c>
      <c r="N198" s="2"/>
    </row>
    <row r="199" spans="1:14" ht="12.75">
      <c r="A199" s="323"/>
      <c r="B199" s="337"/>
      <c r="C199" s="2" t="s">
        <v>39</v>
      </c>
      <c r="D199" s="2">
        <v>2</v>
      </c>
      <c r="E199" s="2">
        <f>24*D199</f>
        <v>48</v>
      </c>
      <c r="F199" s="2">
        <f>20*D199</f>
        <v>40</v>
      </c>
      <c r="G199" s="2">
        <f>25*D199</f>
        <v>50</v>
      </c>
      <c r="H199" s="2">
        <f>83*D199</f>
        <v>166</v>
      </c>
      <c r="I199" s="2">
        <v>0</v>
      </c>
      <c r="J199" s="6">
        <v>0</v>
      </c>
      <c r="K199" s="2">
        <v>0</v>
      </c>
      <c r="L199" s="2">
        <f t="shared" si="34"/>
        <v>1080</v>
      </c>
      <c r="M199" s="3">
        <f>100+1.5*30*D199</f>
        <v>190</v>
      </c>
      <c r="N199" s="2"/>
    </row>
    <row r="200" spans="1:14" ht="12.75">
      <c r="A200" s="323"/>
      <c r="B200" s="337"/>
      <c r="C200" s="2" t="s">
        <v>42</v>
      </c>
      <c r="D200" s="2">
        <v>0</v>
      </c>
      <c r="E200" s="2">
        <f>58*D200</f>
        <v>0</v>
      </c>
      <c r="F200" s="2">
        <f>44*D200</f>
        <v>0</v>
      </c>
      <c r="G200" s="2">
        <f>135*D200</f>
        <v>0</v>
      </c>
      <c r="H200" s="2">
        <f>78*D200</f>
        <v>0</v>
      </c>
      <c r="I200" s="2">
        <v>0</v>
      </c>
      <c r="J200" s="6">
        <v>0</v>
      </c>
      <c r="K200" s="2">
        <v>0</v>
      </c>
      <c r="L200" s="2">
        <f t="shared" si="34"/>
        <v>0</v>
      </c>
      <c r="M200" s="3">
        <v>0</v>
      </c>
      <c r="N200" s="2"/>
    </row>
    <row r="201" spans="1:14" ht="12.75">
      <c r="A201" s="323"/>
      <c r="B201" s="337"/>
      <c r="C201" s="2" t="s">
        <v>48</v>
      </c>
      <c r="D201" s="2">
        <v>0</v>
      </c>
      <c r="E201" s="2">
        <f>165*D201</f>
        <v>0</v>
      </c>
      <c r="F201" s="2">
        <f>105*D201</f>
        <v>0</v>
      </c>
      <c r="G201" s="2">
        <f>45*D201</f>
        <v>0</v>
      </c>
      <c r="H201" s="2">
        <v>0</v>
      </c>
      <c r="I201" s="2">
        <f>75*D201</f>
        <v>0</v>
      </c>
      <c r="J201" s="6">
        <v>0</v>
      </c>
      <c r="K201" s="2">
        <v>0</v>
      </c>
      <c r="L201" s="2">
        <f>24*D201*30</f>
        <v>0</v>
      </c>
      <c r="M201" s="2">
        <f>3*30*D201</f>
        <v>0</v>
      </c>
      <c r="N201" s="2"/>
    </row>
    <row r="202" spans="1:14" ht="12.75">
      <c r="A202" s="323"/>
      <c r="B202" s="337"/>
      <c r="C202" s="2" t="s">
        <v>52</v>
      </c>
      <c r="D202" s="2">
        <v>3</v>
      </c>
      <c r="E202" s="2">
        <f>195*D202</f>
        <v>585</v>
      </c>
      <c r="F202" s="2">
        <f>150*D202</f>
        <v>450</v>
      </c>
      <c r="G202" s="2">
        <f>135*D202</f>
        <v>405</v>
      </c>
      <c r="H202" s="2">
        <v>0</v>
      </c>
      <c r="I202" s="2">
        <f>60*D202</f>
        <v>180</v>
      </c>
      <c r="J202" s="6">
        <v>0</v>
      </c>
      <c r="K202" s="2">
        <v>0</v>
      </c>
      <c r="L202" s="2">
        <f>24*D202*30</f>
        <v>2160</v>
      </c>
      <c r="M202" s="2">
        <f>3*30*D202</f>
        <v>270</v>
      </c>
      <c r="N202" s="2"/>
    </row>
    <row r="203" spans="1:14" ht="12.75">
      <c r="A203" s="323"/>
      <c r="B203" s="337"/>
      <c r="C203" s="2" t="s">
        <v>55</v>
      </c>
      <c r="D203" s="2">
        <v>9</v>
      </c>
      <c r="E203" s="2">
        <f>240*D203</f>
        <v>2160</v>
      </c>
      <c r="F203" s="2">
        <f>195*D203</f>
        <v>1755</v>
      </c>
      <c r="G203" s="2">
        <f>45*D203</f>
        <v>405</v>
      </c>
      <c r="H203" s="2">
        <v>0</v>
      </c>
      <c r="I203" s="2">
        <f>60*D203</f>
        <v>540</v>
      </c>
      <c r="J203" s="6">
        <v>0</v>
      </c>
      <c r="K203" s="2">
        <v>0</v>
      </c>
      <c r="L203" s="2">
        <f>30*D203*30</f>
        <v>8100</v>
      </c>
      <c r="M203" s="2">
        <f>3*30*D203</f>
        <v>810</v>
      </c>
      <c r="N203" s="2"/>
    </row>
    <row r="204" spans="1:14" ht="12.75">
      <c r="A204" s="323"/>
      <c r="B204" s="337"/>
      <c r="C204" s="2" t="s">
        <v>57</v>
      </c>
      <c r="D204" s="2">
        <v>6</v>
      </c>
      <c r="E204" s="2">
        <f>255*D204</f>
        <v>1530</v>
      </c>
      <c r="F204" s="2">
        <f>210*D204</f>
        <v>1260</v>
      </c>
      <c r="G204" s="2">
        <f>60*D204</f>
        <v>360</v>
      </c>
      <c r="H204" s="2">
        <v>0</v>
      </c>
      <c r="I204" s="2">
        <f>51*D204</f>
        <v>306</v>
      </c>
      <c r="J204" s="6">
        <v>0</v>
      </c>
      <c r="K204" s="2">
        <v>0</v>
      </c>
      <c r="L204" s="2">
        <f>35*D204*30</f>
        <v>6300</v>
      </c>
      <c r="M204" s="2">
        <f>3*30*D204</f>
        <v>540</v>
      </c>
      <c r="N204" s="2"/>
    </row>
    <row r="205" spans="1:14" ht="12.75">
      <c r="A205" s="324"/>
      <c r="B205" s="332" t="s">
        <v>40</v>
      </c>
      <c r="C205" s="333"/>
      <c r="D205" s="4">
        <f>SUM(D192:D204)</f>
        <v>144</v>
      </c>
      <c r="E205" s="4">
        <f aca="true" t="shared" si="35" ref="E205:L205">SUM(E192:E204)</f>
        <v>63853</v>
      </c>
      <c r="F205" s="4">
        <f t="shared" si="35"/>
        <v>50305</v>
      </c>
      <c r="G205" s="4">
        <f t="shared" si="35"/>
        <v>9286</v>
      </c>
      <c r="H205" s="4">
        <f t="shared" si="35"/>
        <v>660</v>
      </c>
      <c r="I205" s="4">
        <f t="shared" si="35"/>
        <v>1026</v>
      </c>
      <c r="J205" s="6">
        <f t="shared" si="35"/>
        <v>0</v>
      </c>
      <c r="K205" s="4">
        <f t="shared" si="35"/>
        <v>1880</v>
      </c>
      <c r="L205" s="4">
        <f t="shared" si="35"/>
        <v>350280</v>
      </c>
      <c r="M205" s="4">
        <f>SUM(M192:M204)</f>
        <v>17995</v>
      </c>
      <c r="N205" s="4">
        <f>12*40+150*2+5*14*12+M205</f>
        <v>19615</v>
      </c>
    </row>
    <row r="206" spans="1:15" ht="12.75">
      <c r="A206" s="320" t="s">
        <v>58</v>
      </c>
      <c r="B206" s="319"/>
      <c r="C206" s="350"/>
      <c r="D206" s="6"/>
      <c r="E206" s="6">
        <f aca="true" t="shared" si="36" ref="E206:N206">E205+E191+E177+E164+E151+E138+E126+E114+E103+E91+E80+E70</f>
        <v>681676</v>
      </c>
      <c r="F206" s="6">
        <f t="shared" si="36"/>
        <v>688912</v>
      </c>
      <c r="G206" s="6">
        <f t="shared" si="36"/>
        <v>102896</v>
      </c>
      <c r="H206" s="6">
        <f t="shared" si="36"/>
        <v>6445</v>
      </c>
      <c r="I206" s="6">
        <f t="shared" si="36"/>
        <v>9909</v>
      </c>
      <c r="J206" s="6">
        <f t="shared" si="36"/>
        <v>0</v>
      </c>
      <c r="K206" s="6">
        <f t="shared" si="36"/>
        <v>12140</v>
      </c>
      <c r="L206" s="6">
        <f t="shared" si="36"/>
        <v>4085370</v>
      </c>
      <c r="M206" s="6">
        <f t="shared" si="36"/>
        <v>204890</v>
      </c>
      <c r="N206" s="6">
        <f t="shared" si="36"/>
        <v>215270</v>
      </c>
      <c r="O206" s="12"/>
    </row>
    <row r="207" spans="1:14" ht="12.75">
      <c r="A207" s="354">
        <v>3</v>
      </c>
      <c r="B207" s="337">
        <v>1</v>
      </c>
      <c r="C207" s="2" t="s">
        <v>29</v>
      </c>
      <c r="D207" s="2">
        <v>48</v>
      </c>
      <c r="E207" s="3">
        <f>20*D207*30</f>
        <v>28800</v>
      </c>
      <c r="F207" s="2">
        <f>15*D207*30</f>
        <v>21600</v>
      </c>
      <c r="G207" s="2">
        <f>2*D207*30</f>
        <v>2880</v>
      </c>
      <c r="H207" s="3">
        <v>0</v>
      </c>
      <c r="I207" s="2">
        <v>0</v>
      </c>
      <c r="J207" s="6">
        <v>0</v>
      </c>
      <c r="K207" s="3">
        <v>0</v>
      </c>
      <c r="L207" s="2">
        <f>100*D207*30</f>
        <v>144000</v>
      </c>
      <c r="M207" s="2">
        <f>140*D207</f>
        <v>6720</v>
      </c>
      <c r="N207" s="2"/>
    </row>
    <row r="208" spans="1:14" ht="12.75">
      <c r="A208" s="355"/>
      <c r="B208" s="337"/>
      <c r="C208" s="2" t="s">
        <v>36</v>
      </c>
      <c r="D208" s="2">
        <v>36</v>
      </c>
      <c r="E208" s="2">
        <f>15*D208*30</f>
        <v>16200</v>
      </c>
      <c r="F208" s="2">
        <f>20*D208*30</f>
        <v>21600</v>
      </c>
      <c r="G208" s="2">
        <f>2*D208*30</f>
        <v>2160</v>
      </c>
      <c r="H208" s="2">
        <v>0</v>
      </c>
      <c r="I208" s="2">
        <v>0</v>
      </c>
      <c r="J208" s="6">
        <v>0</v>
      </c>
      <c r="K208" s="2">
        <v>0</v>
      </c>
      <c r="L208" s="2">
        <f>100*D208*30</f>
        <v>108000</v>
      </c>
      <c r="M208" s="2">
        <f>140*D208</f>
        <v>5040</v>
      </c>
      <c r="N208" s="2"/>
    </row>
    <row r="209" spans="1:14" ht="12.75">
      <c r="A209" s="355"/>
      <c r="B209" s="337"/>
      <c r="C209" s="2" t="s">
        <v>51</v>
      </c>
      <c r="D209" s="2">
        <v>24</v>
      </c>
      <c r="E209" s="2">
        <f>20*D209*30</f>
        <v>14400</v>
      </c>
      <c r="F209" s="2">
        <f>5*D209*30</f>
        <v>3600</v>
      </c>
      <c r="G209" s="2">
        <f>4*D209*30</f>
        <v>2880</v>
      </c>
      <c r="H209" s="2">
        <v>0</v>
      </c>
      <c r="I209" s="2">
        <v>0</v>
      </c>
      <c r="J209" s="6">
        <v>0</v>
      </c>
      <c r="K209" s="2">
        <v>0</v>
      </c>
      <c r="L209" s="2">
        <f>100*D209*30</f>
        <v>72000</v>
      </c>
      <c r="M209" s="2">
        <f>140*D209</f>
        <v>3360</v>
      </c>
      <c r="N209" s="2"/>
    </row>
    <row r="210" spans="1:14" ht="12.75">
      <c r="A210" s="355"/>
      <c r="B210" s="337"/>
      <c r="C210" s="2" t="s">
        <v>30</v>
      </c>
      <c r="D210" s="2">
        <v>10</v>
      </c>
      <c r="E210" s="3">
        <f>3*D210</f>
        <v>30</v>
      </c>
      <c r="F210" s="2">
        <v>0</v>
      </c>
      <c r="G210" s="2">
        <f>6*D210</f>
        <v>60</v>
      </c>
      <c r="H210" s="2">
        <f>10*D210</f>
        <v>100</v>
      </c>
      <c r="I210" s="2">
        <v>0</v>
      </c>
      <c r="J210" s="6">
        <v>0</v>
      </c>
      <c r="K210" s="2">
        <f>170*D210</f>
        <v>1700</v>
      </c>
      <c r="L210" s="2">
        <f aca="true" t="shared" si="37" ref="L210:L215">18*D210*30</f>
        <v>5400</v>
      </c>
      <c r="M210" s="3">
        <f>60*12</f>
        <v>720</v>
      </c>
      <c r="N210" s="2"/>
    </row>
    <row r="211" spans="1:14" ht="12.75">
      <c r="A211" s="355"/>
      <c r="B211" s="337"/>
      <c r="C211" s="2" t="s">
        <v>32</v>
      </c>
      <c r="D211" s="2">
        <v>2</v>
      </c>
      <c r="E211" s="2">
        <f>14*D211</f>
        <v>28</v>
      </c>
      <c r="F211" s="2">
        <v>0</v>
      </c>
      <c r="G211" s="2">
        <f>9*D211</f>
        <v>18</v>
      </c>
      <c r="H211" s="2">
        <f>45*D211</f>
        <v>90</v>
      </c>
      <c r="I211" s="2">
        <v>0</v>
      </c>
      <c r="J211" s="6">
        <v>0</v>
      </c>
      <c r="K211" s="2">
        <f>90*D211</f>
        <v>180</v>
      </c>
      <c r="L211" s="2">
        <f t="shared" si="37"/>
        <v>1080</v>
      </c>
      <c r="M211" s="3">
        <f>75+1.5*30*D211</f>
        <v>165</v>
      </c>
      <c r="N211" s="2"/>
    </row>
    <row r="212" spans="1:14" ht="12.75">
      <c r="A212" s="355"/>
      <c r="B212" s="337"/>
      <c r="C212" s="2" t="s">
        <v>34</v>
      </c>
      <c r="D212" s="2">
        <v>2</v>
      </c>
      <c r="E212" s="2">
        <f>15*D212</f>
        <v>30</v>
      </c>
      <c r="F212" s="2">
        <v>0</v>
      </c>
      <c r="G212" s="2">
        <f>13*D212</f>
        <v>26</v>
      </c>
      <c r="H212" s="2">
        <f>72*D212</f>
        <v>144</v>
      </c>
      <c r="I212" s="2">
        <v>0</v>
      </c>
      <c r="J212" s="6">
        <v>0</v>
      </c>
      <c r="K212" s="2">
        <v>0</v>
      </c>
      <c r="L212" s="2">
        <f t="shared" si="37"/>
        <v>1080</v>
      </c>
      <c r="M212" s="2">
        <f>1.5*30*D212</f>
        <v>90</v>
      </c>
      <c r="N212" s="2"/>
    </row>
    <row r="213" spans="1:14" ht="12.75">
      <c r="A213" s="355"/>
      <c r="B213" s="337"/>
      <c r="C213" s="2" t="s">
        <v>37</v>
      </c>
      <c r="D213" s="2">
        <v>2</v>
      </c>
      <c r="E213" s="2">
        <f>21*D213</f>
        <v>42</v>
      </c>
      <c r="F213" s="3">
        <v>0</v>
      </c>
      <c r="G213" s="2">
        <f>21*D213</f>
        <v>42</v>
      </c>
      <c r="H213" s="2">
        <f>80*D213</f>
        <v>160</v>
      </c>
      <c r="I213" s="3">
        <v>0</v>
      </c>
      <c r="J213" s="6">
        <v>0</v>
      </c>
      <c r="K213" s="3">
        <v>0</v>
      </c>
      <c r="L213" s="2">
        <f t="shared" si="37"/>
        <v>1080</v>
      </c>
      <c r="M213" s="2">
        <f>1.5*30*D213</f>
        <v>90</v>
      </c>
      <c r="N213" s="2"/>
    </row>
    <row r="214" spans="1:14" ht="12.75">
      <c r="A214" s="355"/>
      <c r="B214" s="337"/>
      <c r="C214" s="2" t="s">
        <v>39</v>
      </c>
      <c r="D214" s="2">
        <v>2</v>
      </c>
      <c r="E214" s="2">
        <f>24*D214</f>
        <v>48</v>
      </c>
      <c r="F214" s="2">
        <f>20*D214</f>
        <v>40</v>
      </c>
      <c r="G214" s="2">
        <f>25*D214</f>
        <v>50</v>
      </c>
      <c r="H214" s="2">
        <f>83*D214</f>
        <v>166</v>
      </c>
      <c r="I214" s="2">
        <v>0</v>
      </c>
      <c r="J214" s="6">
        <v>0</v>
      </c>
      <c r="K214" s="2">
        <v>0</v>
      </c>
      <c r="L214" s="2">
        <f t="shared" si="37"/>
        <v>1080</v>
      </c>
      <c r="M214" s="2">
        <f>1.5*30*D214</f>
        <v>90</v>
      </c>
      <c r="N214" s="2"/>
    </row>
    <row r="215" spans="1:14" ht="12.75">
      <c r="A215" s="355"/>
      <c r="B215" s="337"/>
      <c r="C215" s="2" t="s">
        <v>42</v>
      </c>
      <c r="D215" s="2">
        <v>2</v>
      </c>
      <c r="E215" s="2">
        <f>58*D215</f>
        <v>116</v>
      </c>
      <c r="F215" s="2">
        <f>44*D215</f>
        <v>88</v>
      </c>
      <c r="G215" s="2">
        <f>135*D215</f>
        <v>270</v>
      </c>
      <c r="H215" s="2">
        <f>78*D215</f>
        <v>156</v>
      </c>
      <c r="I215" s="2">
        <v>0</v>
      </c>
      <c r="J215" s="6">
        <v>0</v>
      </c>
      <c r="K215" s="2">
        <v>0</v>
      </c>
      <c r="L215" s="2">
        <f t="shared" si="37"/>
        <v>1080</v>
      </c>
      <c r="M215" s="3">
        <f>1.5*30*D215</f>
        <v>90</v>
      </c>
      <c r="N215" s="2"/>
    </row>
    <row r="216" spans="1:14" ht="12.75">
      <c r="A216" s="355"/>
      <c r="B216" s="337"/>
      <c r="C216" s="2" t="s">
        <v>48</v>
      </c>
      <c r="D216" s="2">
        <v>0</v>
      </c>
      <c r="E216" s="2">
        <f>165*D216</f>
        <v>0</v>
      </c>
      <c r="F216" s="2">
        <f>105*D216</f>
        <v>0</v>
      </c>
      <c r="G216" s="2">
        <f>45*D216</f>
        <v>0</v>
      </c>
      <c r="H216" s="2">
        <v>0</v>
      </c>
      <c r="I216" s="2">
        <f>75*D216</f>
        <v>0</v>
      </c>
      <c r="J216" s="6">
        <v>0</v>
      </c>
      <c r="K216" s="2">
        <v>0</v>
      </c>
      <c r="L216" s="2">
        <f>24*D216*30</f>
        <v>0</v>
      </c>
      <c r="M216" s="3">
        <v>0</v>
      </c>
      <c r="N216" s="2"/>
    </row>
    <row r="217" spans="1:14" ht="12.75">
      <c r="A217" s="355"/>
      <c r="B217" s="337"/>
      <c r="C217" s="2" t="s">
        <v>52</v>
      </c>
      <c r="D217" s="2">
        <v>0</v>
      </c>
      <c r="E217" s="2">
        <f>195*D217</f>
        <v>0</v>
      </c>
      <c r="F217" s="2">
        <f>150*D217</f>
        <v>0</v>
      </c>
      <c r="G217" s="2">
        <f>135*D217</f>
        <v>0</v>
      </c>
      <c r="H217" s="2">
        <v>0</v>
      </c>
      <c r="I217" s="2">
        <f>60*D217</f>
        <v>0</v>
      </c>
      <c r="J217" s="6">
        <v>0</v>
      </c>
      <c r="K217" s="2">
        <v>0</v>
      </c>
      <c r="L217" s="2">
        <f>24*D217*30</f>
        <v>0</v>
      </c>
      <c r="M217" s="2">
        <f>3*30*D217</f>
        <v>0</v>
      </c>
      <c r="N217" s="2"/>
    </row>
    <row r="218" spans="1:14" ht="12.75">
      <c r="A218" s="355"/>
      <c r="B218" s="337"/>
      <c r="C218" s="2" t="s">
        <v>55</v>
      </c>
      <c r="D218" s="2">
        <v>9</v>
      </c>
      <c r="E218" s="2">
        <f>240*D218</f>
        <v>2160</v>
      </c>
      <c r="F218" s="2">
        <f>195*D218</f>
        <v>1755</v>
      </c>
      <c r="G218" s="2">
        <f>45*D218</f>
        <v>405</v>
      </c>
      <c r="H218" s="2">
        <v>0</v>
      </c>
      <c r="I218" s="2">
        <f>60*D218</f>
        <v>540</v>
      </c>
      <c r="J218" s="6">
        <v>0</v>
      </c>
      <c r="K218" s="2">
        <v>0</v>
      </c>
      <c r="L218" s="2">
        <f>30*D218*30</f>
        <v>8100</v>
      </c>
      <c r="M218" s="2">
        <f>3*30*D218</f>
        <v>810</v>
      </c>
      <c r="N218" s="2"/>
    </row>
    <row r="219" spans="1:14" ht="12.75">
      <c r="A219" s="355"/>
      <c r="B219" s="337"/>
      <c r="C219" s="2" t="s">
        <v>59</v>
      </c>
      <c r="D219" s="2">
        <v>9</v>
      </c>
      <c r="E219" s="2">
        <f>255*D219</f>
        <v>2295</v>
      </c>
      <c r="F219" s="2">
        <f>210*D219</f>
        <v>1890</v>
      </c>
      <c r="G219" s="2">
        <f>60*D219</f>
        <v>540</v>
      </c>
      <c r="H219" s="2">
        <v>0</v>
      </c>
      <c r="I219" s="2">
        <f>51*D219</f>
        <v>459</v>
      </c>
      <c r="J219" s="6">
        <v>0</v>
      </c>
      <c r="K219" s="2">
        <v>0</v>
      </c>
      <c r="L219" s="2">
        <f>35*D219*30</f>
        <v>9450</v>
      </c>
      <c r="M219" s="2">
        <f>3*30*D219</f>
        <v>810</v>
      </c>
      <c r="N219" s="2"/>
    </row>
    <row r="220" spans="1:15" ht="12.75">
      <c r="A220" s="355"/>
      <c r="B220" s="332" t="s">
        <v>60</v>
      </c>
      <c r="C220" s="333"/>
      <c r="D220" s="4">
        <f>SUM(D207:D219)</f>
        <v>146</v>
      </c>
      <c r="E220" s="4">
        <f aca="true" t="shared" si="38" ref="E220:L220">SUM(E207:E219)</f>
        <v>64149</v>
      </c>
      <c r="F220" s="4">
        <f t="shared" si="38"/>
        <v>50573</v>
      </c>
      <c r="G220" s="4">
        <f t="shared" si="38"/>
        <v>9331</v>
      </c>
      <c r="H220" s="4">
        <f t="shared" si="38"/>
        <v>816</v>
      </c>
      <c r="I220" s="4">
        <f t="shared" si="38"/>
        <v>999</v>
      </c>
      <c r="J220" s="6">
        <f t="shared" si="38"/>
        <v>0</v>
      </c>
      <c r="K220" s="4">
        <f t="shared" si="38"/>
        <v>1880</v>
      </c>
      <c r="L220" s="4">
        <f t="shared" si="38"/>
        <v>352350</v>
      </c>
      <c r="M220" s="4">
        <f>SUM(M207:M219)</f>
        <v>17985</v>
      </c>
      <c r="N220" s="4">
        <f>12*40+150*2+5*14*12+M220</f>
        <v>19605</v>
      </c>
      <c r="O220" s="12"/>
    </row>
    <row r="221" spans="1:14" ht="12.75">
      <c r="A221" s="355"/>
      <c r="B221" s="337">
        <v>2</v>
      </c>
      <c r="C221" s="2" t="s">
        <v>29</v>
      </c>
      <c r="D221" s="2">
        <v>48</v>
      </c>
      <c r="E221" s="3">
        <f>20*D221*30</f>
        <v>28800</v>
      </c>
      <c r="F221" s="2">
        <f>15*D221*30</f>
        <v>21600</v>
      </c>
      <c r="G221" s="2">
        <f>2*D221*30</f>
        <v>2880</v>
      </c>
      <c r="H221" s="3">
        <v>0</v>
      </c>
      <c r="I221" s="2">
        <v>0</v>
      </c>
      <c r="J221" s="6">
        <v>0</v>
      </c>
      <c r="K221" s="3">
        <v>0</v>
      </c>
      <c r="L221" s="2">
        <f>100*D221*30</f>
        <v>144000</v>
      </c>
      <c r="M221" s="2">
        <f>140*D221</f>
        <v>6720</v>
      </c>
      <c r="N221" s="2"/>
    </row>
    <row r="222" spans="1:14" ht="12.75">
      <c r="A222" s="355"/>
      <c r="B222" s="337"/>
      <c r="C222" s="2" t="s">
        <v>36</v>
      </c>
      <c r="D222" s="2">
        <v>36</v>
      </c>
      <c r="E222" s="2">
        <f>15*D222*30</f>
        <v>16200</v>
      </c>
      <c r="F222" s="2">
        <f>20*D222*30</f>
        <v>21600</v>
      </c>
      <c r="G222" s="2">
        <f>2*D222*30</f>
        <v>2160</v>
      </c>
      <c r="H222" s="2">
        <v>0</v>
      </c>
      <c r="I222" s="2">
        <v>0</v>
      </c>
      <c r="J222" s="6">
        <v>0</v>
      </c>
      <c r="K222" s="2">
        <v>0</v>
      </c>
      <c r="L222" s="2">
        <f>100*D222*30</f>
        <v>108000</v>
      </c>
      <c r="M222" s="2">
        <f>140*D222</f>
        <v>5040</v>
      </c>
      <c r="N222" s="2"/>
    </row>
    <row r="223" spans="1:14" ht="12.75">
      <c r="A223" s="355"/>
      <c r="B223" s="337"/>
      <c r="C223" s="2" t="s">
        <v>51</v>
      </c>
      <c r="D223" s="2">
        <v>24</v>
      </c>
      <c r="E223" s="2">
        <f>20*D223*30</f>
        <v>14400</v>
      </c>
      <c r="F223" s="2">
        <f>5*D223*30</f>
        <v>3600</v>
      </c>
      <c r="G223" s="2">
        <f>4*D223*30</f>
        <v>2880</v>
      </c>
      <c r="H223" s="2">
        <v>0</v>
      </c>
      <c r="I223" s="2">
        <v>0</v>
      </c>
      <c r="J223" s="6">
        <v>0</v>
      </c>
      <c r="K223" s="2">
        <v>0</v>
      </c>
      <c r="L223" s="2">
        <f>100*D223*30</f>
        <v>72000</v>
      </c>
      <c r="M223" s="2">
        <f>140*D223</f>
        <v>3360</v>
      </c>
      <c r="N223" s="2"/>
    </row>
    <row r="224" spans="1:14" ht="12.75">
      <c r="A224" s="355"/>
      <c r="B224" s="337"/>
      <c r="C224" s="2" t="s">
        <v>30</v>
      </c>
      <c r="D224" s="2">
        <v>10</v>
      </c>
      <c r="E224" s="3">
        <f>3*D224</f>
        <v>30</v>
      </c>
      <c r="F224" s="2">
        <v>0</v>
      </c>
      <c r="G224" s="2">
        <f>6*D224</f>
        <v>60</v>
      </c>
      <c r="H224" s="2">
        <f>10*D224</f>
        <v>100</v>
      </c>
      <c r="I224" s="2">
        <v>0</v>
      </c>
      <c r="J224" s="6">
        <v>0</v>
      </c>
      <c r="K224" s="2">
        <f>170*D224</f>
        <v>1700</v>
      </c>
      <c r="L224" s="2">
        <f aca="true" t="shared" si="39" ref="L224:L229">18*D224*30</f>
        <v>5400</v>
      </c>
      <c r="M224" s="3">
        <f>60*12</f>
        <v>720</v>
      </c>
      <c r="N224" s="2"/>
    </row>
    <row r="225" spans="1:14" ht="12.75">
      <c r="A225" s="355"/>
      <c r="B225" s="337"/>
      <c r="C225" s="2" t="s">
        <v>32</v>
      </c>
      <c r="D225" s="2">
        <v>2</v>
      </c>
      <c r="E225" s="2">
        <f>14*D225</f>
        <v>28</v>
      </c>
      <c r="F225" s="2">
        <v>0</v>
      </c>
      <c r="G225" s="2">
        <f>9*D225</f>
        <v>18</v>
      </c>
      <c r="H225" s="2">
        <f>45*D225</f>
        <v>90</v>
      </c>
      <c r="I225" s="2">
        <v>0</v>
      </c>
      <c r="J225" s="6">
        <v>0</v>
      </c>
      <c r="K225" s="2">
        <f>90*D225</f>
        <v>180</v>
      </c>
      <c r="L225" s="2">
        <f t="shared" si="39"/>
        <v>1080</v>
      </c>
      <c r="M225" s="3">
        <f>75+1.5*30*D225</f>
        <v>165</v>
      </c>
      <c r="N225" s="2"/>
    </row>
    <row r="226" spans="1:14" ht="12.75">
      <c r="A226" s="355"/>
      <c r="B226" s="337"/>
      <c r="C226" s="2" t="s">
        <v>34</v>
      </c>
      <c r="D226" s="2">
        <v>2</v>
      </c>
      <c r="E226" s="2">
        <f>15*D226</f>
        <v>30</v>
      </c>
      <c r="F226" s="2">
        <v>0</v>
      </c>
      <c r="G226" s="2">
        <f>13*D226</f>
        <v>26</v>
      </c>
      <c r="H226" s="2">
        <f>72*D226</f>
        <v>144</v>
      </c>
      <c r="I226" s="2">
        <v>0</v>
      </c>
      <c r="J226" s="6">
        <v>0</v>
      </c>
      <c r="K226" s="2">
        <v>0</v>
      </c>
      <c r="L226" s="2">
        <f t="shared" si="39"/>
        <v>1080</v>
      </c>
      <c r="M226" s="2">
        <f>1.5*30*D226</f>
        <v>90</v>
      </c>
      <c r="N226" s="2"/>
    </row>
    <row r="227" spans="1:14" ht="12.75">
      <c r="A227" s="355"/>
      <c r="B227" s="337"/>
      <c r="C227" s="2" t="s">
        <v>37</v>
      </c>
      <c r="D227" s="2">
        <v>2</v>
      </c>
      <c r="E227" s="2">
        <f>21*D227</f>
        <v>42</v>
      </c>
      <c r="F227" s="3">
        <v>0</v>
      </c>
      <c r="G227" s="2">
        <f>21*D227</f>
        <v>42</v>
      </c>
      <c r="H227" s="2">
        <f>80*D227</f>
        <v>160</v>
      </c>
      <c r="I227" s="3">
        <v>0</v>
      </c>
      <c r="J227" s="6">
        <v>0</v>
      </c>
      <c r="K227" s="3">
        <v>0</v>
      </c>
      <c r="L227" s="2">
        <f t="shared" si="39"/>
        <v>1080</v>
      </c>
      <c r="M227" s="2">
        <f>1.5*30*D227</f>
        <v>90</v>
      </c>
      <c r="N227" s="2"/>
    </row>
    <row r="228" spans="1:14" ht="12.75">
      <c r="A228" s="355"/>
      <c r="B228" s="337"/>
      <c r="C228" s="2" t="s">
        <v>39</v>
      </c>
      <c r="D228" s="2">
        <v>2</v>
      </c>
      <c r="E228" s="2">
        <f>24*D228</f>
        <v>48</v>
      </c>
      <c r="F228" s="2">
        <f>20*D228</f>
        <v>40</v>
      </c>
      <c r="G228" s="2">
        <f>25*D228</f>
        <v>50</v>
      </c>
      <c r="H228" s="2">
        <f>83*D228</f>
        <v>166</v>
      </c>
      <c r="I228" s="2">
        <v>0</v>
      </c>
      <c r="J228" s="6">
        <v>0</v>
      </c>
      <c r="K228" s="2">
        <v>0</v>
      </c>
      <c r="L228" s="2">
        <f t="shared" si="39"/>
        <v>1080</v>
      </c>
      <c r="M228" s="2">
        <f>1.5*30*D228</f>
        <v>90</v>
      </c>
      <c r="N228" s="2"/>
    </row>
    <row r="229" spans="1:14" ht="12.75">
      <c r="A229" s="355"/>
      <c r="B229" s="337"/>
      <c r="C229" s="2" t="s">
        <v>42</v>
      </c>
      <c r="D229" s="2">
        <v>2</v>
      </c>
      <c r="E229" s="2">
        <f>58*D229</f>
        <v>116</v>
      </c>
      <c r="F229" s="2">
        <f>44*D229</f>
        <v>88</v>
      </c>
      <c r="G229" s="2">
        <f>135*D229</f>
        <v>270</v>
      </c>
      <c r="H229" s="2">
        <f>78*D229</f>
        <v>156</v>
      </c>
      <c r="I229" s="2">
        <v>0</v>
      </c>
      <c r="J229" s="6">
        <v>0</v>
      </c>
      <c r="K229" s="2">
        <v>0</v>
      </c>
      <c r="L229" s="2">
        <f t="shared" si="39"/>
        <v>1080</v>
      </c>
      <c r="M229" s="2">
        <f>1.5*30*D229</f>
        <v>90</v>
      </c>
      <c r="N229" s="2"/>
    </row>
    <row r="230" spans="1:14" ht="12.75">
      <c r="A230" s="355"/>
      <c r="B230" s="337"/>
      <c r="C230" s="2" t="s">
        <v>48</v>
      </c>
      <c r="D230" s="2">
        <v>2</v>
      </c>
      <c r="E230" s="2">
        <f>165*D230</f>
        <v>330</v>
      </c>
      <c r="F230" s="2">
        <f>105*D230</f>
        <v>210</v>
      </c>
      <c r="G230" s="2">
        <f>45*D230</f>
        <v>90</v>
      </c>
      <c r="H230" s="2">
        <v>0</v>
      </c>
      <c r="I230" s="2">
        <f>75*D230</f>
        <v>150</v>
      </c>
      <c r="J230" s="6">
        <v>0</v>
      </c>
      <c r="K230" s="2">
        <v>0</v>
      </c>
      <c r="L230" s="2">
        <f>24*D230*30</f>
        <v>1440</v>
      </c>
      <c r="M230" s="3">
        <f>100+3*30*D230</f>
        <v>280</v>
      </c>
      <c r="N230" s="2"/>
    </row>
    <row r="231" spans="1:14" ht="12.75">
      <c r="A231" s="355"/>
      <c r="B231" s="337"/>
      <c r="C231" s="2" t="s">
        <v>52</v>
      </c>
      <c r="D231" s="2">
        <v>0</v>
      </c>
      <c r="E231" s="2">
        <f>195*D231</f>
        <v>0</v>
      </c>
      <c r="F231" s="2">
        <f>150*D231</f>
        <v>0</v>
      </c>
      <c r="G231" s="2">
        <f>135*D231</f>
        <v>0</v>
      </c>
      <c r="H231" s="2">
        <v>0</v>
      </c>
      <c r="I231" s="2">
        <f>60*D231</f>
        <v>0</v>
      </c>
      <c r="J231" s="6">
        <v>0</v>
      </c>
      <c r="K231" s="2">
        <v>0</v>
      </c>
      <c r="L231" s="2">
        <f>24*D231*30</f>
        <v>0</v>
      </c>
      <c r="M231" s="2">
        <f>3*30*D231</f>
        <v>0</v>
      </c>
      <c r="N231" s="2"/>
    </row>
    <row r="232" spans="1:14" ht="12.75">
      <c r="A232" s="355"/>
      <c r="B232" s="337"/>
      <c r="C232" s="2" t="s">
        <v>55</v>
      </c>
      <c r="D232" s="2">
        <v>6</v>
      </c>
      <c r="E232" s="2">
        <f>240*D232</f>
        <v>1440</v>
      </c>
      <c r="F232" s="2">
        <f>195*D232</f>
        <v>1170</v>
      </c>
      <c r="G232" s="2">
        <f>45*D232</f>
        <v>270</v>
      </c>
      <c r="H232" s="2">
        <v>0</v>
      </c>
      <c r="I232" s="2">
        <f>60*D232</f>
        <v>360</v>
      </c>
      <c r="J232" s="6">
        <v>0</v>
      </c>
      <c r="K232" s="2">
        <v>0</v>
      </c>
      <c r="L232" s="2">
        <f>30*D232*30</f>
        <v>5400</v>
      </c>
      <c r="M232" s="2">
        <f>3*30*D232</f>
        <v>540</v>
      </c>
      <c r="N232" s="2"/>
    </row>
    <row r="233" spans="1:14" ht="12.75">
      <c r="A233" s="355"/>
      <c r="B233" s="337"/>
      <c r="C233" s="2" t="s">
        <v>59</v>
      </c>
      <c r="D233" s="2">
        <v>9</v>
      </c>
      <c r="E233" s="2">
        <f>255*D233</f>
        <v>2295</v>
      </c>
      <c r="F233" s="2">
        <f>210*D233</f>
        <v>1890</v>
      </c>
      <c r="G233" s="2">
        <f>60*D233</f>
        <v>540</v>
      </c>
      <c r="H233" s="2">
        <v>0</v>
      </c>
      <c r="I233" s="2">
        <f>51*D233</f>
        <v>459</v>
      </c>
      <c r="J233" s="6">
        <v>0</v>
      </c>
      <c r="K233" s="2">
        <v>0</v>
      </c>
      <c r="L233" s="2">
        <f>35*D233*30</f>
        <v>9450</v>
      </c>
      <c r="M233" s="2">
        <f>3*30*D233</f>
        <v>810</v>
      </c>
      <c r="N233" s="2"/>
    </row>
    <row r="234" spans="1:14" ht="12.75">
      <c r="A234" s="355"/>
      <c r="B234" s="1"/>
      <c r="C234" s="2" t="s">
        <v>61</v>
      </c>
      <c r="D234" s="2">
        <v>3</v>
      </c>
      <c r="E234" s="2">
        <f>270*D234</f>
        <v>810</v>
      </c>
      <c r="F234" s="2">
        <f>220*D234</f>
        <v>660</v>
      </c>
      <c r="G234" s="2">
        <f>60*D234</f>
        <v>180</v>
      </c>
      <c r="H234" s="2">
        <v>0</v>
      </c>
      <c r="I234" s="2">
        <f>56*D234</f>
        <v>168</v>
      </c>
      <c r="J234" s="6">
        <v>0</v>
      </c>
      <c r="K234" s="2">
        <v>0</v>
      </c>
      <c r="L234" s="2">
        <f>40*D234*30</f>
        <v>3600</v>
      </c>
      <c r="M234" s="2">
        <f>125+3*30*D234</f>
        <v>395</v>
      </c>
      <c r="N234" s="2"/>
    </row>
    <row r="235" spans="1:15" ht="12.75">
      <c r="A235" s="355"/>
      <c r="B235" s="332" t="s">
        <v>62</v>
      </c>
      <c r="C235" s="333"/>
      <c r="D235" s="4">
        <f>SUM(D221:D234)</f>
        <v>148</v>
      </c>
      <c r="E235" s="4">
        <f aca="true" t="shared" si="40" ref="E235:L235">SUM(E221:E234)</f>
        <v>64569</v>
      </c>
      <c r="F235" s="4">
        <f t="shared" si="40"/>
        <v>50858</v>
      </c>
      <c r="G235" s="4">
        <f t="shared" si="40"/>
        <v>9466</v>
      </c>
      <c r="H235" s="4">
        <f t="shared" si="40"/>
        <v>816</v>
      </c>
      <c r="I235" s="4">
        <f t="shared" si="40"/>
        <v>1137</v>
      </c>
      <c r="J235" s="6">
        <f t="shared" si="40"/>
        <v>0</v>
      </c>
      <c r="K235" s="4">
        <f t="shared" si="40"/>
        <v>1880</v>
      </c>
      <c r="L235" s="4">
        <f t="shared" si="40"/>
        <v>354690</v>
      </c>
      <c r="M235" s="4">
        <f>SUM(M221:M234)</f>
        <v>18390</v>
      </c>
      <c r="N235" s="4">
        <f>12*40+150*2+5*14*12+M235</f>
        <v>20010</v>
      </c>
      <c r="O235" s="12"/>
    </row>
    <row r="236" spans="1:14" ht="12.75">
      <c r="A236" s="355"/>
      <c r="B236" s="337">
        <v>3</v>
      </c>
      <c r="C236" s="2" t="s">
        <v>29</v>
      </c>
      <c r="D236" s="2">
        <v>48</v>
      </c>
      <c r="E236" s="3">
        <f>20*D236*30</f>
        <v>28800</v>
      </c>
      <c r="F236" s="2">
        <f>15*D236*30</f>
        <v>21600</v>
      </c>
      <c r="G236" s="2">
        <f>2*D236*30</f>
        <v>2880</v>
      </c>
      <c r="H236" s="3">
        <v>0</v>
      </c>
      <c r="I236" s="2">
        <v>0</v>
      </c>
      <c r="J236" s="6">
        <v>0</v>
      </c>
      <c r="K236" s="3">
        <v>0</v>
      </c>
      <c r="L236" s="2">
        <f>100*D236*30</f>
        <v>144000</v>
      </c>
      <c r="M236" s="2">
        <f>140*D236</f>
        <v>6720</v>
      </c>
      <c r="N236" s="2"/>
    </row>
    <row r="237" spans="1:14" ht="12.75">
      <c r="A237" s="355"/>
      <c r="B237" s="337"/>
      <c r="C237" s="2" t="s">
        <v>36</v>
      </c>
      <c r="D237" s="2">
        <v>36</v>
      </c>
      <c r="E237" s="2">
        <f>15*D237*30</f>
        <v>16200</v>
      </c>
      <c r="F237" s="2">
        <f>20*D237*30</f>
        <v>21600</v>
      </c>
      <c r="G237" s="2">
        <f>2*D237*30</f>
        <v>2160</v>
      </c>
      <c r="H237" s="2">
        <v>0</v>
      </c>
      <c r="I237" s="2">
        <v>0</v>
      </c>
      <c r="J237" s="6">
        <v>0</v>
      </c>
      <c r="K237" s="2">
        <v>0</v>
      </c>
      <c r="L237" s="2">
        <f>100*D237*30</f>
        <v>108000</v>
      </c>
      <c r="M237" s="2">
        <f>140*D237</f>
        <v>5040</v>
      </c>
      <c r="N237" s="2"/>
    </row>
    <row r="238" spans="1:14" ht="12.75">
      <c r="A238" s="355"/>
      <c r="B238" s="337"/>
      <c r="C238" s="2" t="s">
        <v>51</v>
      </c>
      <c r="D238" s="2">
        <v>24</v>
      </c>
      <c r="E238" s="2">
        <f>20*D238*30</f>
        <v>14400</v>
      </c>
      <c r="F238" s="2">
        <f>5*D238*30</f>
        <v>3600</v>
      </c>
      <c r="G238" s="2">
        <f>4*D238*30</f>
        <v>2880</v>
      </c>
      <c r="H238" s="2">
        <v>0</v>
      </c>
      <c r="I238" s="2">
        <v>0</v>
      </c>
      <c r="J238" s="6">
        <v>0</v>
      </c>
      <c r="K238" s="2">
        <v>0</v>
      </c>
      <c r="L238" s="2">
        <f>100*D238*30</f>
        <v>72000</v>
      </c>
      <c r="M238" s="2">
        <f>140*D238</f>
        <v>3360</v>
      </c>
      <c r="N238" s="2"/>
    </row>
    <row r="239" spans="1:14" ht="12.75">
      <c r="A239" s="355"/>
      <c r="B239" s="337"/>
      <c r="C239" s="2" t="s">
        <v>30</v>
      </c>
      <c r="D239" s="2">
        <v>10</v>
      </c>
      <c r="E239" s="3">
        <f>3*D239</f>
        <v>30</v>
      </c>
      <c r="F239" s="2">
        <v>0</v>
      </c>
      <c r="G239" s="2">
        <f>6*D239</f>
        <v>60</v>
      </c>
      <c r="H239" s="2">
        <f>10*D239</f>
        <v>100</v>
      </c>
      <c r="I239" s="2">
        <v>0</v>
      </c>
      <c r="J239" s="6">
        <v>0</v>
      </c>
      <c r="K239" s="2">
        <f>170*D239</f>
        <v>1700</v>
      </c>
      <c r="L239" s="2">
        <f aca="true" t="shared" si="41" ref="L239:L244">18*D239*30</f>
        <v>5400</v>
      </c>
      <c r="M239" s="3">
        <f>60*12</f>
        <v>720</v>
      </c>
      <c r="N239" s="2"/>
    </row>
    <row r="240" spans="1:14" ht="12.75">
      <c r="A240" s="355"/>
      <c r="B240" s="337"/>
      <c r="C240" s="2" t="s">
        <v>32</v>
      </c>
      <c r="D240" s="2">
        <v>2</v>
      </c>
      <c r="E240" s="2">
        <f>14*D240</f>
        <v>28</v>
      </c>
      <c r="F240" s="2">
        <v>0</v>
      </c>
      <c r="G240" s="2">
        <f>9*D240</f>
        <v>18</v>
      </c>
      <c r="H240" s="2">
        <f>45*D240</f>
        <v>90</v>
      </c>
      <c r="I240" s="2">
        <v>0</v>
      </c>
      <c r="J240" s="6">
        <v>0</v>
      </c>
      <c r="K240" s="2">
        <f>90*D240</f>
        <v>180</v>
      </c>
      <c r="L240" s="2">
        <f t="shared" si="41"/>
        <v>1080</v>
      </c>
      <c r="M240" s="3">
        <f>75+1.5*30*D240</f>
        <v>165</v>
      </c>
      <c r="N240" s="2"/>
    </row>
    <row r="241" spans="1:14" ht="12.75">
      <c r="A241" s="355"/>
      <c r="B241" s="337"/>
      <c r="C241" s="2" t="s">
        <v>34</v>
      </c>
      <c r="D241" s="2">
        <v>2</v>
      </c>
      <c r="E241" s="2">
        <f>15*D241</f>
        <v>30</v>
      </c>
      <c r="F241" s="2">
        <v>0</v>
      </c>
      <c r="G241" s="2">
        <f>13*D241</f>
        <v>26</v>
      </c>
      <c r="H241" s="2">
        <f>72*D241</f>
        <v>144</v>
      </c>
      <c r="I241" s="2">
        <v>0</v>
      </c>
      <c r="J241" s="6">
        <v>0</v>
      </c>
      <c r="K241" s="2">
        <v>0</v>
      </c>
      <c r="L241" s="2">
        <f t="shared" si="41"/>
        <v>1080</v>
      </c>
      <c r="M241" s="2">
        <f>100+1.5*30*D241</f>
        <v>190</v>
      </c>
      <c r="N241" s="2"/>
    </row>
    <row r="242" spans="1:14" ht="12.75">
      <c r="A242" s="355"/>
      <c r="B242" s="337"/>
      <c r="C242" s="2" t="s">
        <v>37</v>
      </c>
      <c r="D242" s="2">
        <v>2</v>
      </c>
      <c r="E242" s="2">
        <f>21*D242</f>
        <v>42</v>
      </c>
      <c r="F242" s="3">
        <v>0</v>
      </c>
      <c r="G242" s="2">
        <f>21*D242</f>
        <v>42</v>
      </c>
      <c r="H242" s="2">
        <f>80*D242</f>
        <v>160</v>
      </c>
      <c r="I242" s="3">
        <v>0</v>
      </c>
      <c r="J242" s="6">
        <v>0</v>
      </c>
      <c r="K242" s="3">
        <v>0</v>
      </c>
      <c r="L242" s="2">
        <f t="shared" si="41"/>
        <v>1080</v>
      </c>
      <c r="M242" s="2">
        <f>1.5*30*D242</f>
        <v>90</v>
      </c>
      <c r="N242" s="2"/>
    </row>
    <row r="243" spans="1:14" ht="12.75">
      <c r="A243" s="355"/>
      <c r="B243" s="337"/>
      <c r="C243" s="2" t="s">
        <v>39</v>
      </c>
      <c r="D243" s="2">
        <v>2</v>
      </c>
      <c r="E243" s="2">
        <f>24*D243</f>
        <v>48</v>
      </c>
      <c r="F243" s="2">
        <f>20*D243</f>
        <v>40</v>
      </c>
      <c r="G243" s="2">
        <f>25*D243</f>
        <v>50</v>
      </c>
      <c r="H243" s="2">
        <f>83*D243</f>
        <v>166</v>
      </c>
      <c r="I243" s="2">
        <v>0</v>
      </c>
      <c r="J243" s="6">
        <v>0</v>
      </c>
      <c r="K243" s="2">
        <v>0</v>
      </c>
      <c r="L243" s="2">
        <f t="shared" si="41"/>
        <v>1080</v>
      </c>
      <c r="M243" s="2">
        <f>1.5*30*D243</f>
        <v>90</v>
      </c>
      <c r="N243" s="2"/>
    </row>
    <row r="244" spans="1:14" ht="12.75">
      <c r="A244" s="355"/>
      <c r="B244" s="337"/>
      <c r="C244" s="2" t="s">
        <v>42</v>
      </c>
      <c r="D244" s="2">
        <v>2</v>
      </c>
      <c r="E244" s="2">
        <f>58*D244</f>
        <v>116</v>
      </c>
      <c r="F244" s="2">
        <f>44*D244</f>
        <v>88</v>
      </c>
      <c r="G244" s="2">
        <f>135*D244</f>
        <v>270</v>
      </c>
      <c r="H244" s="2">
        <f>78*D244</f>
        <v>156</v>
      </c>
      <c r="I244" s="2">
        <v>0</v>
      </c>
      <c r="J244" s="6">
        <v>0</v>
      </c>
      <c r="K244" s="2">
        <v>0</v>
      </c>
      <c r="L244" s="2">
        <f t="shared" si="41"/>
        <v>1080</v>
      </c>
      <c r="M244" s="2">
        <f>1.5*30*D244</f>
        <v>90</v>
      </c>
      <c r="N244" s="2"/>
    </row>
    <row r="245" spans="1:14" ht="12.75">
      <c r="A245" s="355"/>
      <c r="B245" s="337"/>
      <c r="C245" s="2" t="s">
        <v>48</v>
      </c>
      <c r="D245" s="2">
        <v>4</v>
      </c>
      <c r="E245" s="2">
        <f>165*D245</f>
        <v>660</v>
      </c>
      <c r="F245" s="2">
        <f>105*D245</f>
        <v>420</v>
      </c>
      <c r="G245" s="2">
        <f>45*D245</f>
        <v>180</v>
      </c>
      <c r="H245" s="2">
        <v>0</v>
      </c>
      <c r="I245" s="2">
        <f>75*D245</f>
        <v>300</v>
      </c>
      <c r="J245" s="6">
        <v>0</v>
      </c>
      <c r="K245" s="2">
        <v>0</v>
      </c>
      <c r="L245" s="2">
        <f>24*D245*30</f>
        <v>2880</v>
      </c>
      <c r="M245" s="2">
        <f>3*30*D245</f>
        <v>360</v>
      </c>
      <c r="N245" s="2"/>
    </row>
    <row r="246" spans="1:14" ht="12.75">
      <c r="A246" s="355"/>
      <c r="B246" s="337"/>
      <c r="C246" s="2" t="s">
        <v>52</v>
      </c>
      <c r="D246" s="2">
        <v>0</v>
      </c>
      <c r="E246" s="2">
        <f>195*D246</f>
        <v>0</v>
      </c>
      <c r="F246" s="2">
        <f>150*D246</f>
        <v>0</v>
      </c>
      <c r="G246" s="2">
        <f>135*D246</f>
        <v>0</v>
      </c>
      <c r="H246" s="2">
        <v>0</v>
      </c>
      <c r="I246" s="2">
        <f>60*D246</f>
        <v>0</v>
      </c>
      <c r="J246" s="6">
        <v>0</v>
      </c>
      <c r="K246" s="2">
        <v>0</v>
      </c>
      <c r="L246" s="2">
        <f>24*D246*30</f>
        <v>0</v>
      </c>
      <c r="M246" s="2">
        <f>3*30*D246</f>
        <v>0</v>
      </c>
      <c r="N246" s="2"/>
    </row>
    <row r="247" spans="1:14" ht="12.75">
      <c r="A247" s="355"/>
      <c r="B247" s="337"/>
      <c r="C247" s="2" t="s">
        <v>55</v>
      </c>
      <c r="D247" s="2">
        <v>3</v>
      </c>
      <c r="E247" s="2">
        <f>240*D247</f>
        <v>720</v>
      </c>
      <c r="F247" s="2">
        <f>195*D247</f>
        <v>585</v>
      </c>
      <c r="G247" s="2">
        <f>45*D247</f>
        <v>135</v>
      </c>
      <c r="H247" s="2">
        <v>0</v>
      </c>
      <c r="I247" s="2">
        <f>60*D247</f>
        <v>180</v>
      </c>
      <c r="J247" s="6">
        <v>0</v>
      </c>
      <c r="K247" s="2">
        <v>0</v>
      </c>
      <c r="L247" s="2">
        <f>30*D247*30</f>
        <v>2700</v>
      </c>
      <c r="M247" s="2">
        <f>3*30*D247</f>
        <v>270</v>
      </c>
      <c r="N247" s="2"/>
    </row>
    <row r="248" spans="1:14" ht="12.75">
      <c r="A248" s="355"/>
      <c r="B248" s="337"/>
      <c r="C248" s="2" t="s">
        <v>59</v>
      </c>
      <c r="D248" s="2">
        <v>9</v>
      </c>
      <c r="E248" s="2">
        <f>255*D248</f>
        <v>2295</v>
      </c>
      <c r="F248" s="2">
        <f>210*D248</f>
        <v>1890</v>
      </c>
      <c r="G248" s="2">
        <f>60*D248</f>
        <v>540</v>
      </c>
      <c r="H248" s="2">
        <v>0</v>
      </c>
      <c r="I248" s="2">
        <f>51*D248</f>
        <v>459</v>
      </c>
      <c r="J248" s="6">
        <v>0</v>
      </c>
      <c r="K248" s="2">
        <v>0</v>
      </c>
      <c r="L248" s="2">
        <f>35*D248*30</f>
        <v>9450</v>
      </c>
      <c r="M248" s="2">
        <f>3*30*D248</f>
        <v>810</v>
      </c>
      <c r="N248" s="2"/>
    </row>
    <row r="249" spans="1:14" ht="12.75">
      <c r="A249" s="355"/>
      <c r="B249" s="337"/>
      <c r="C249" s="2" t="s">
        <v>63</v>
      </c>
      <c r="D249" s="2">
        <v>6</v>
      </c>
      <c r="E249" s="2">
        <f>270*D249</f>
        <v>1620</v>
      </c>
      <c r="F249" s="2">
        <f>220*D249</f>
        <v>1320</v>
      </c>
      <c r="G249" s="2">
        <f>60*D249</f>
        <v>360</v>
      </c>
      <c r="H249" s="2">
        <v>0</v>
      </c>
      <c r="I249" s="2">
        <f>56*D249</f>
        <v>336</v>
      </c>
      <c r="J249" s="6">
        <v>0</v>
      </c>
      <c r="K249" s="2">
        <v>0</v>
      </c>
      <c r="L249" s="2">
        <f>40*D249*30</f>
        <v>7200</v>
      </c>
      <c r="M249" s="2">
        <f>3*30*D249</f>
        <v>540</v>
      </c>
      <c r="N249" s="2"/>
    </row>
    <row r="250" spans="1:15" ht="12.75">
      <c r="A250" s="355"/>
      <c r="B250" s="332" t="s">
        <v>64</v>
      </c>
      <c r="C250" s="333"/>
      <c r="D250" s="4">
        <f>SUM(D236:D249)</f>
        <v>150</v>
      </c>
      <c r="E250" s="4">
        <f aca="true" t="shared" si="42" ref="E250:L250">SUM(E236:E249)</f>
        <v>64989</v>
      </c>
      <c r="F250" s="4">
        <f t="shared" si="42"/>
        <v>51143</v>
      </c>
      <c r="G250" s="4">
        <f t="shared" si="42"/>
        <v>9601</v>
      </c>
      <c r="H250" s="4">
        <f t="shared" si="42"/>
        <v>816</v>
      </c>
      <c r="I250" s="4">
        <f t="shared" si="42"/>
        <v>1275</v>
      </c>
      <c r="J250" s="6">
        <f t="shared" si="42"/>
        <v>0</v>
      </c>
      <c r="K250" s="4">
        <f t="shared" si="42"/>
        <v>1880</v>
      </c>
      <c r="L250" s="4">
        <f t="shared" si="42"/>
        <v>357030</v>
      </c>
      <c r="M250" s="4">
        <f>SUM(M236:M249)</f>
        <v>18445</v>
      </c>
      <c r="N250" s="4">
        <f>12*40+150*2+5*14*12+M250</f>
        <v>20065</v>
      </c>
      <c r="O250" s="12"/>
    </row>
    <row r="251" spans="1:14" ht="12.75">
      <c r="A251" s="355"/>
      <c r="B251" s="337">
        <v>4</v>
      </c>
      <c r="C251" s="2" t="s">
        <v>29</v>
      </c>
      <c r="D251" s="2">
        <v>48</v>
      </c>
      <c r="E251" s="3">
        <f>20*D251*30</f>
        <v>28800</v>
      </c>
      <c r="F251" s="2">
        <f>15*D251*30</f>
        <v>21600</v>
      </c>
      <c r="G251" s="2">
        <f>2*D251*30</f>
        <v>2880</v>
      </c>
      <c r="H251" s="3">
        <v>0</v>
      </c>
      <c r="I251" s="2">
        <v>0</v>
      </c>
      <c r="J251" s="6">
        <v>0</v>
      </c>
      <c r="K251" s="3">
        <v>0</v>
      </c>
      <c r="L251" s="2">
        <f>100*D251*30</f>
        <v>144000</v>
      </c>
      <c r="M251" s="2">
        <f>140*D251</f>
        <v>6720</v>
      </c>
      <c r="N251" s="2"/>
    </row>
    <row r="252" spans="1:14" ht="12.75">
      <c r="A252" s="355"/>
      <c r="B252" s="337"/>
      <c r="C252" s="2" t="s">
        <v>36</v>
      </c>
      <c r="D252" s="2">
        <v>48</v>
      </c>
      <c r="E252" s="2">
        <f>15*D252*30</f>
        <v>21600</v>
      </c>
      <c r="F252" s="2">
        <f>20*D252*30</f>
        <v>28800</v>
      </c>
      <c r="G252" s="2">
        <f>2*D252*30</f>
        <v>2880</v>
      </c>
      <c r="H252" s="2">
        <v>0</v>
      </c>
      <c r="I252" s="2">
        <v>0</v>
      </c>
      <c r="J252" s="6">
        <v>0</v>
      </c>
      <c r="K252" s="2">
        <v>0</v>
      </c>
      <c r="L252" s="2">
        <f>100*D252*30</f>
        <v>144000</v>
      </c>
      <c r="M252" s="2">
        <f>140*D252</f>
        <v>6720</v>
      </c>
      <c r="N252" s="2"/>
    </row>
    <row r="253" spans="1:14" ht="12.75">
      <c r="A253" s="355"/>
      <c r="B253" s="337"/>
      <c r="C253" s="2" t="s">
        <v>51</v>
      </c>
      <c r="D253" s="2">
        <v>12</v>
      </c>
      <c r="E253" s="2">
        <f>20*D253*30</f>
        <v>7200</v>
      </c>
      <c r="F253" s="2">
        <f>5*D253*30</f>
        <v>1800</v>
      </c>
      <c r="G253" s="2">
        <f>4*D253*30</f>
        <v>1440</v>
      </c>
      <c r="H253" s="2">
        <v>0</v>
      </c>
      <c r="I253" s="2">
        <v>0</v>
      </c>
      <c r="J253" s="6">
        <v>0</v>
      </c>
      <c r="K253" s="2">
        <v>0</v>
      </c>
      <c r="L253" s="2">
        <f>100*D253*30</f>
        <v>36000</v>
      </c>
      <c r="M253" s="2">
        <f>140*D253</f>
        <v>1680</v>
      </c>
      <c r="N253" s="2"/>
    </row>
    <row r="254" spans="1:14" ht="12.75">
      <c r="A254" s="355"/>
      <c r="B254" s="337"/>
      <c r="C254" s="2" t="s">
        <v>30</v>
      </c>
      <c r="D254" s="2">
        <v>10</v>
      </c>
      <c r="E254" s="3">
        <f>3*D254</f>
        <v>30</v>
      </c>
      <c r="F254" s="2">
        <v>0</v>
      </c>
      <c r="G254" s="2">
        <f>6*D254</f>
        <v>60</v>
      </c>
      <c r="H254" s="2">
        <f>10*D254</f>
        <v>100</v>
      </c>
      <c r="I254" s="2">
        <v>0</v>
      </c>
      <c r="J254" s="6">
        <v>0</v>
      </c>
      <c r="K254" s="2">
        <f>170*D254</f>
        <v>1700</v>
      </c>
      <c r="L254" s="2">
        <f aca="true" t="shared" si="43" ref="L254:L259">18*D254*30</f>
        <v>5400</v>
      </c>
      <c r="M254" s="3">
        <f>60*12</f>
        <v>720</v>
      </c>
      <c r="N254" s="2"/>
    </row>
    <row r="255" spans="1:14" ht="12.75">
      <c r="A255" s="355"/>
      <c r="B255" s="337"/>
      <c r="C255" s="2" t="s">
        <v>32</v>
      </c>
      <c r="D255" s="2">
        <v>2</v>
      </c>
      <c r="E255" s="2">
        <f>14*D255</f>
        <v>28</v>
      </c>
      <c r="F255" s="2">
        <v>0</v>
      </c>
      <c r="G255" s="2">
        <f>9*D255</f>
        <v>18</v>
      </c>
      <c r="H255" s="2">
        <f>45*D255</f>
        <v>90</v>
      </c>
      <c r="I255" s="2">
        <v>0</v>
      </c>
      <c r="J255" s="6">
        <v>0</v>
      </c>
      <c r="K255" s="2">
        <f>90*D255</f>
        <v>180</v>
      </c>
      <c r="L255" s="2">
        <f t="shared" si="43"/>
        <v>1080</v>
      </c>
      <c r="M255" s="3">
        <f>75+1.5*30*D255</f>
        <v>165</v>
      </c>
      <c r="N255" s="2"/>
    </row>
    <row r="256" spans="1:14" ht="12.75">
      <c r="A256" s="355"/>
      <c r="B256" s="337"/>
      <c r="C256" s="2" t="s">
        <v>34</v>
      </c>
      <c r="D256" s="2">
        <v>2</v>
      </c>
      <c r="E256" s="2">
        <f>15*D256</f>
        <v>30</v>
      </c>
      <c r="F256" s="2">
        <v>0</v>
      </c>
      <c r="G256" s="2">
        <f>13*D256</f>
        <v>26</v>
      </c>
      <c r="H256" s="2">
        <f>72*D256</f>
        <v>144</v>
      </c>
      <c r="I256" s="2">
        <v>0</v>
      </c>
      <c r="J256" s="6">
        <v>0</v>
      </c>
      <c r="K256" s="2">
        <v>0</v>
      </c>
      <c r="L256" s="2">
        <f t="shared" si="43"/>
        <v>1080</v>
      </c>
      <c r="M256" s="2">
        <f>1.5*30*D256</f>
        <v>90</v>
      </c>
      <c r="N256" s="2"/>
    </row>
    <row r="257" spans="1:14" ht="12.75">
      <c r="A257" s="355"/>
      <c r="B257" s="337"/>
      <c r="C257" s="2" t="s">
        <v>37</v>
      </c>
      <c r="D257" s="2">
        <v>2</v>
      </c>
      <c r="E257" s="2">
        <f>21*D257</f>
        <v>42</v>
      </c>
      <c r="F257" s="3">
        <v>0</v>
      </c>
      <c r="G257" s="2">
        <f>21*D257</f>
        <v>42</v>
      </c>
      <c r="H257" s="2">
        <f>80*D257</f>
        <v>160</v>
      </c>
      <c r="I257" s="3">
        <v>0</v>
      </c>
      <c r="J257" s="6">
        <v>0</v>
      </c>
      <c r="K257" s="3">
        <v>0</v>
      </c>
      <c r="L257" s="2">
        <f t="shared" si="43"/>
        <v>1080</v>
      </c>
      <c r="M257" s="2">
        <f>1.5*30*D257</f>
        <v>90</v>
      </c>
      <c r="N257" s="2"/>
    </row>
    <row r="258" spans="1:14" ht="12.75">
      <c r="A258" s="355"/>
      <c r="B258" s="337"/>
      <c r="C258" s="2" t="s">
        <v>39</v>
      </c>
      <c r="D258" s="2">
        <v>2</v>
      </c>
      <c r="E258" s="2">
        <f>24*D258</f>
        <v>48</v>
      </c>
      <c r="F258" s="2">
        <f>20*D258</f>
        <v>40</v>
      </c>
      <c r="G258" s="2">
        <f>25*D258</f>
        <v>50</v>
      </c>
      <c r="H258" s="2">
        <f>83*D258</f>
        <v>166</v>
      </c>
      <c r="I258" s="2">
        <v>0</v>
      </c>
      <c r="J258" s="6">
        <v>0</v>
      </c>
      <c r="K258" s="2">
        <v>0</v>
      </c>
      <c r="L258" s="2">
        <f t="shared" si="43"/>
        <v>1080</v>
      </c>
      <c r="M258" s="2">
        <f>1.5*30*D258</f>
        <v>90</v>
      </c>
      <c r="N258" s="2"/>
    </row>
    <row r="259" spans="1:14" ht="12.75">
      <c r="A259" s="355"/>
      <c r="B259" s="337"/>
      <c r="C259" s="2" t="s">
        <v>42</v>
      </c>
      <c r="D259" s="2">
        <v>2</v>
      </c>
      <c r="E259" s="2">
        <f>58*D259</f>
        <v>116</v>
      </c>
      <c r="F259" s="2">
        <f>44*D259</f>
        <v>88</v>
      </c>
      <c r="G259" s="2">
        <f>135*D259</f>
        <v>270</v>
      </c>
      <c r="H259" s="2">
        <f>78*D259</f>
        <v>156</v>
      </c>
      <c r="I259" s="2">
        <v>0</v>
      </c>
      <c r="J259" s="6">
        <v>0</v>
      </c>
      <c r="K259" s="2">
        <v>0</v>
      </c>
      <c r="L259" s="2">
        <f t="shared" si="43"/>
        <v>1080</v>
      </c>
      <c r="M259" s="2">
        <f>100+1.5*30*D259</f>
        <v>190</v>
      </c>
      <c r="N259" s="2"/>
    </row>
    <row r="260" spans="1:14" ht="12.75">
      <c r="A260" s="355"/>
      <c r="B260" s="337"/>
      <c r="C260" s="2" t="s">
        <v>48</v>
      </c>
      <c r="D260" s="2">
        <v>6</v>
      </c>
      <c r="E260" s="2">
        <f>165*D260</f>
        <v>990</v>
      </c>
      <c r="F260" s="2">
        <f>105*D260</f>
        <v>630</v>
      </c>
      <c r="G260" s="2">
        <f>45*D260</f>
        <v>270</v>
      </c>
      <c r="H260" s="2">
        <v>0</v>
      </c>
      <c r="I260" s="2">
        <f>75*D260</f>
        <v>450</v>
      </c>
      <c r="J260" s="6">
        <v>0</v>
      </c>
      <c r="K260" s="2">
        <v>0</v>
      </c>
      <c r="L260" s="2">
        <f>24*D260*30</f>
        <v>4320</v>
      </c>
      <c r="M260" s="2">
        <f>3*30*D260</f>
        <v>540</v>
      </c>
      <c r="N260" s="2"/>
    </row>
    <row r="261" spans="1:14" ht="12.75">
      <c r="A261" s="355"/>
      <c r="B261" s="337"/>
      <c r="C261" s="2" t="s">
        <v>52</v>
      </c>
      <c r="D261" s="2">
        <v>0</v>
      </c>
      <c r="E261" s="2">
        <f>195*D261</f>
        <v>0</v>
      </c>
      <c r="F261" s="2">
        <f>150*D261</f>
        <v>0</v>
      </c>
      <c r="G261" s="2">
        <f>135*D261</f>
        <v>0</v>
      </c>
      <c r="H261" s="2">
        <v>0</v>
      </c>
      <c r="I261" s="2">
        <f>60*D261</f>
        <v>0</v>
      </c>
      <c r="J261" s="6">
        <v>0</v>
      </c>
      <c r="K261" s="2">
        <v>0</v>
      </c>
      <c r="L261" s="2">
        <f>24*D261*30</f>
        <v>0</v>
      </c>
      <c r="M261" s="2">
        <f>3*30*D261</f>
        <v>0</v>
      </c>
      <c r="N261" s="2"/>
    </row>
    <row r="262" spans="1:14" ht="12.75">
      <c r="A262" s="355"/>
      <c r="B262" s="337"/>
      <c r="C262" s="2" t="s">
        <v>55</v>
      </c>
      <c r="D262" s="2">
        <v>0</v>
      </c>
      <c r="E262" s="2">
        <f>240*D262</f>
        <v>0</v>
      </c>
      <c r="F262" s="2">
        <f>195*D262</f>
        <v>0</v>
      </c>
      <c r="G262" s="2">
        <f>45*D262</f>
        <v>0</v>
      </c>
      <c r="H262" s="2">
        <v>0</v>
      </c>
      <c r="I262" s="2">
        <f>60*D262</f>
        <v>0</v>
      </c>
      <c r="J262" s="6">
        <v>0</v>
      </c>
      <c r="K262" s="2">
        <v>0</v>
      </c>
      <c r="L262" s="2">
        <f>30*D262*30</f>
        <v>0</v>
      </c>
      <c r="M262" s="2">
        <v>0</v>
      </c>
      <c r="N262" s="2"/>
    </row>
    <row r="263" spans="1:14" ht="12.75">
      <c r="A263" s="355"/>
      <c r="B263" s="337"/>
      <c r="C263" s="2" t="s">
        <v>59</v>
      </c>
      <c r="D263" s="2">
        <v>9</v>
      </c>
      <c r="E263" s="2">
        <f>255*D263</f>
        <v>2295</v>
      </c>
      <c r="F263" s="2">
        <f>210*D263</f>
        <v>1890</v>
      </c>
      <c r="G263" s="2">
        <f>60*D263</f>
        <v>540</v>
      </c>
      <c r="H263" s="2">
        <v>0</v>
      </c>
      <c r="I263" s="2">
        <f>51*D263</f>
        <v>459</v>
      </c>
      <c r="J263" s="6">
        <v>0</v>
      </c>
      <c r="K263" s="2">
        <v>0</v>
      </c>
      <c r="L263" s="2">
        <f>35*D263*30</f>
        <v>9450</v>
      </c>
      <c r="M263" s="2">
        <f>3*30*D263</f>
        <v>810</v>
      </c>
      <c r="N263" s="2"/>
    </row>
    <row r="264" spans="1:14" ht="12.75">
      <c r="A264" s="355"/>
      <c r="B264" s="337"/>
      <c r="C264" s="2" t="s">
        <v>65</v>
      </c>
      <c r="D264" s="2">
        <v>9</v>
      </c>
      <c r="E264" s="2">
        <f>270*D264</f>
        <v>2430</v>
      </c>
      <c r="F264" s="2">
        <f>220*D264</f>
        <v>1980</v>
      </c>
      <c r="G264" s="2">
        <f>60*D264</f>
        <v>540</v>
      </c>
      <c r="H264" s="2">
        <v>0</v>
      </c>
      <c r="I264" s="2">
        <f>56*D264</f>
        <v>504</v>
      </c>
      <c r="J264" s="6">
        <v>0</v>
      </c>
      <c r="K264" s="2">
        <v>0</v>
      </c>
      <c r="L264" s="2">
        <f>40*D264*30</f>
        <v>10800</v>
      </c>
      <c r="M264" s="2">
        <f>125+3*30*D264</f>
        <v>935</v>
      </c>
      <c r="N264" s="2"/>
    </row>
    <row r="265" spans="1:15" ht="12.75">
      <c r="A265" s="355"/>
      <c r="B265" s="332" t="s">
        <v>66</v>
      </c>
      <c r="C265" s="333"/>
      <c r="D265" s="4">
        <f>SUM(D251:D264)</f>
        <v>152</v>
      </c>
      <c r="E265" s="4">
        <f aca="true" t="shared" si="44" ref="E265:L265">SUM(E251:E264)</f>
        <v>63609</v>
      </c>
      <c r="F265" s="4">
        <f t="shared" si="44"/>
        <v>56828</v>
      </c>
      <c r="G265" s="4">
        <f t="shared" si="44"/>
        <v>9016</v>
      </c>
      <c r="H265" s="4">
        <f t="shared" si="44"/>
        <v>816</v>
      </c>
      <c r="I265" s="4">
        <f t="shared" si="44"/>
        <v>1413</v>
      </c>
      <c r="J265" s="6">
        <f t="shared" si="44"/>
        <v>0</v>
      </c>
      <c r="K265" s="4">
        <f t="shared" si="44"/>
        <v>1880</v>
      </c>
      <c r="L265" s="4">
        <f t="shared" si="44"/>
        <v>359370</v>
      </c>
      <c r="M265" s="4">
        <f>SUM(M251:M264)</f>
        <v>18750</v>
      </c>
      <c r="N265" s="4">
        <f>12*40+150*2+5*14*12+M265</f>
        <v>20370</v>
      </c>
      <c r="O265" s="12"/>
    </row>
    <row r="266" spans="1:14" ht="12.75">
      <c r="A266" s="355"/>
      <c r="B266" s="337">
        <v>5</v>
      </c>
      <c r="C266" s="2" t="s">
        <v>29</v>
      </c>
      <c r="D266" s="2">
        <v>48</v>
      </c>
      <c r="E266" s="3">
        <f>20*D266*30</f>
        <v>28800</v>
      </c>
      <c r="F266" s="2">
        <f>15*D266*30</f>
        <v>21600</v>
      </c>
      <c r="G266" s="2">
        <f>2*D266*30</f>
        <v>2880</v>
      </c>
      <c r="H266" s="3">
        <v>0</v>
      </c>
      <c r="I266" s="2">
        <v>0</v>
      </c>
      <c r="J266" s="6">
        <v>0</v>
      </c>
      <c r="K266" s="3">
        <v>0</v>
      </c>
      <c r="L266" s="2">
        <f>100*D266*30</f>
        <v>144000</v>
      </c>
      <c r="M266" s="2">
        <f>140*D266</f>
        <v>6720</v>
      </c>
      <c r="N266" s="2"/>
    </row>
    <row r="267" spans="1:14" ht="12.75">
      <c r="A267" s="355"/>
      <c r="B267" s="337"/>
      <c r="C267" s="2" t="s">
        <v>36</v>
      </c>
      <c r="D267" s="2">
        <v>60</v>
      </c>
      <c r="E267" s="2">
        <f>15*D267*30</f>
        <v>27000</v>
      </c>
      <c r="F267" s="2">
        <f>20*D267*30</f>
        <v>36000</v>
      </c>
      <c r="G267" s="2">
        <f>2*D267*30</f>
        <v>3600</v>
      </c>
      <c r="H267" s="2">
        <v>0</v>
      </c>
      <c r="I267" s="2">
        <v>0</v>
      </c>
      <c r="J267" s="6">
        <v>0</v>
      </c>
      <c r="K267" s="2">
        <v>0</v>
      </c>
      <c r="L267" s="2">
        <f>100*D267*30</f>
        <v>180000</v>
      </c>
      <c r="M267" s="2">
        <f>140*D267</f>
        <v>8400</v>
      </c>
      <c r="N267" s="2"/>
    </row>
    <row r="268" spans="1:14" ht="12.75">
      <c r="A268" s="355"/>
      <c r="B268" s="337"/>
      <c r="C268" s="2" t="s">
        <v>51</v>
      </c>
      <c r="D268" s="2">
        <v>0</v>
      </c>
      <c r="E268" s="2">
        <f>20*D268*30</f>
        <v>0</v>
      </c>
      <c r="F268" s="2">
        <f>5*D268*30</f>
        <v>0</v>
      </c>
      <c r="G268" s="2">
        <f>4*D268*30</f>
        <v>0</v>
      </c>
      <c r="H268" s="2">
        <v>0</v>
      </c>
      <c r="I268" s="2">
        <v>0</v>
      </c>
      <c r="J268" s="6">
        <f>2*D268*30</f>
        <v>0</v>
      </c>
      <c r="K268" s="2">
        <v>0</v>
      </c>
      <c r="L268" s="2">
        <f>100*D268*30</f>
        <v>0</v>
      </c>
      <c r="M268" s="2">
        <f>140*D268</f>
        <v>0</v>
      </c>
      <c r="N268" s="2"/>
    </row>
    <row r="269" spans="1:14" ht="12.75">
      <c r="A269" s="355"/>
      <c r="B269" s="337"/>
      <c r="C269" s="2" t="s">
        <v>30</v>
      </c>
      <c r="D269" s="2">
        <v>10</v>
      </c>
      <c r="E269" s="3">
        <f>3*D269</f>
        <v>30</v>
      </c>
      <c r="F269" s="2">
        <v>0</v>
      </c>
      <c r="G269" s="2">
        <f>6*D269</f>
        <v>60</v>
      </c>
      <c r="H269" s="2">
        <f>10*D269</f>
        <v>100</v>
      </c>
      <c r="I269" s="2">
        <v>0</v>
      </c>
      <c r="J269" s="6">
        <v>0</v>
      </c>
      <c r="K269" s="2">
        <f>170*D269</f>
        <v>1700</v>
      </c>
      <c r="L269" s="2">
        <f aca="true" t="shared" si="45" ref="L269:L274">18*D269*30</f>
        <v>5400</v>
      </c>
      <c r="M269" s="3">
        <f>60*12</f>
        <v>720</v>
      </c>
      <c r="N269" s="2"/>
    </row>
    <row r="270" spans="1:14" ht="12.75">
      <c r="A270" s="355"/>
      <c r="B270" s="337"/>
      <c r="C270" s="2" t="s">
        <v>32</v>
      </c>
      <c r="D270" s="2">
        <v>2</v>
      </c>
      <c r="E270" s="2">
        <f>14*D270</f>
        <v>28</v>
      </c>
      <c r="F270" s="2">
        <v>0</v>
      </c>
      <c r="G270" s="2">
        <f>9*D270</f>
        <v>18</v>
      </c>
      <c r="H270" s="2">
        <f>45*D270</f>
        <v>90</v>
      </c>
      <c r="I270" s="2">
        <v>0</v>
      </c>
      <c r="J270" s="6">
        <v>0</v>
      </c>
      <c r="K270" s="2">
        <f>90*D270</f>
        <v>180</v>
      </c>
      <c r="L270" s="2">
        <f t="shared" si="45"/>
        <v>1080</v>
      </c>
      <c r="M270" s="3">
        <f>75+1.5*30*D270</f>
        <v>165</v>
      </c>
      <c r="N270" s="2"/>
    </row>
    <row r="271" spans="1:14" ht="12.75">
      <c r="A271" s="355"/>
      <c r="B271" s="337"/>
      <c r="C271" s="2" t="s">
        <v>34</v>
      </c>
      <c r="D271" s="2">
        <v>2</v>
      </c>
      <c r="E271" s="2">
        <f>15*D271</f>
        <v>30</v>
      </c>
      <c r="F271" s="2">
        <v>0</v>
      </c>
      <c r="G271" s="2">
        <f>13*D271</f>
        <v>26</v>
      </c>
      <c r="H271" s="2">
        <f>72*D271</f>
        <v>144</v>
      </c>
      <c r="I271" s="2">
        <v>0</v>
      </c>
      <c r="J271" s="6">
        <v>0</v>
      </c>
      <c r="K271" s="2">
        <v>0</v>
      </c>
      <c r="L271" s="2">
        <f t="shared" si="45"/>
        <v>1080</v>
      </c>
      <c r="M271" s="2">
        <f>1.5*30*D271</f>
        <v>90</v>
      </c>
      <c r="N271" s="2"/>
    </row>
    <row r="272" spans="1:14" ht="12.75">
      <c r="A272" s="355"/>
      <c r="B272" s="337"/>
      <c r="C272" s="2" t="s">
        <v>37</v>
      </c>
      <c r="D272" s="2">
        <v>2</v>
      </c>
      <c r="E272" s="2">
        <f>21*D272</f>
        <v>42</v>
      </c>
      <c r="F272" s="3">
        <v>0</v>
      </c>
      <c r="G272" s="2">
        <f>21*D272</f>
        <v>42</v>
      </c>
      <c r="H272" s="2">
        <f>80*D272</f>
        <v>160</v>
      </c>
      <c r="I272" s="3">
        <v>0</v>
      </c>
      <c r="J272" s="6">
        <v>0</v>
      </c>
      <c r="K272" s="3">
        <v>0</v>
      </c>
      <c r="L272" s="2">
        <f t="shared" si="45"/>
        <v>1080</v>
      </c>
      <c r="M272" s="2">
        <f>1.5*30*D272</f>
        <v>90</v>
      </c>
      <c r="N272" s="2"/>
    </row>
    <row r="273" spans="1:14" ht="12.75">
      <c r="A273" s="355"/>
      <c r="B273" s="337"/>
      <c r="C273" s="2" t="s">
        <v>39</v>
      </c>
      <c r="D273" s="2">
        <v>2</v>
      </c>
      <c r="E273" s="2">
        <f>24*D273</f>
        <v>48</v>
      </c>
      <c r="F273" s="2">
        <f>20*D273</f>
        <v>40</v>
      </c>
      <c r="G273" s="2">
        <f>25*D273</f>
        <v>50</v>
      </c>
      <c r="H273" s="2">
        <f>83*D273</f>
        <v>166</v>
      </c>
      <c r="I273" s="2">
        <v>0</v>
      </c>
      <c r="J273" s="6">
        <v>0</v>
      </c>
      <c r="K273" s="2">
        <v>0</v>
      </c>
      <c r="L273" s="2">
        <f t="shared" si="45"/>
        <v>1080</v>
      </c>
      <c r="M273" s="2">
        <f>1.5*30*D273</f>
        <v>90</v>
      </c>
      <c r="N273" s="2"/>
    </row>
    <row r="274" spans="1:14" ht="12.75">
      <c r="A274" s="355"/>
      <c r="B274" s="337"/>
      <c r="C274" s="2" t="s">
        <v>42</v>
      </c>
      <c r="D274" s="2">
        <v>2</v>
      </c>
      <c r="E274" s="2">
        <f>58*D274</f>
        <v>116</v>
      </c>
      <c r="F274" s="2">
        <f>44*D274</f>
        <v>88</v>
      </c>
      <c r="G274" s="2">
        <f>135*D274</f>
        <v>270</v>
      </c>
      <c r="H274" s="2">
        <f>78*D274</f>
        <v>156</v>
      </c>
      <c r="I274" s="2">
        <v>0</v>
      </c>
      <c r="J274" s="6">
        <v>0</v>
      </c>
      <c r="K274" s="2">
        <v>0</v>
      </c>
      <c r="L274" s="2">
        <f t="shared" si="45"/>
        <v>1080</v>
      </c>
      <c r="M274" s="2">
        <f>100+1.5*30*D274</f>
        <v>190</v>
      </c>
      <c r="N274" s="2"/>
    </row>
    <row r="275" spans="1:14" ht="12.75">
      <c r="A275" s="355"/>
      <c r="B275" s="337"/>
      <c r="C275" s="2" t="s">
        <v>48</v>
      </c>
      <c r="D275" s="2">
        <v>6</v>
      </c>
      <c r="E275" s="2">
        <f>165*D275</f>
        <v>990</v>
      </c>
      <c r="F275" s="2">
        <f>105*D275</f>
        <v>630</v>
      </c>
      <c r="G275" s="2">
        <f>45*D275</f>
        <v>270</v>
      </c>
      <c r="H275" s="2">
        <v>0</v>
      </c>
      <c r="I275" s="2">
        <f>75*D275</f>
        <v>450</v>
      </c>
      <c r="J275" s="6">
        <v>0</v>
      </c>
      <c r="K275" s="2">
        <v>0</v>
      </c>
      <c r="L275" s="2">
        <f>24*D275*30</f>
        <v>4320</v>
      </c>
      <c r="M275" s="2">
        <f>3*30*D275</f>
        <v>540</v>
      </c>
      <c r="N275" s="2"/>
    </row>
    <row r="276" spans="1:14" ht="12.75">
      <c r="A276" s="355"/>
      <c r="B276" s="337"/>
      <c r="C276" s="2" t="s">
        <v>52</v>
      </c>
      <c r="D276" s="2">
        <v>2</v>
      </c>
      <c r="E276" s="2">
        <f>195*D276</f>
        <v>390</v>
      </c>
      <c r="F276" s="2">
        <f>150*D276</f>
        <v>300</v>
      </c>
      <c r="G276" s="2">
        <f>135*D276</f>
        <v>270</v>
      </c>
      <c r="H276" s="2">
        <v>0</v>
      </c>
      <c r="I276" s="2">
        <f>60*D276</f>
        <v>120</v>
      </c>
      <c r="J276" s="6">
        <v>0</v>
      </c>
      <c r="K276" s="2">
        <v>0</v>
      </c>
      <c r="L276" s="2">
        <f>24*D276*30</f>
        <v>1440</v>
      </c>
      <c r="M276" s="2">
        <f>125+3*30*D276</f>
        <v>305</v>
      </c>
      <c r="N276" s="2"/>
    </row>
    <row r="277" spans="1:14" ht="12.75">
      <c r="A277" s="355"/>
      <c r="B277" s="337"/>
      <c r="C277" s="2" t="s">
        <v>55</v>
      </c>
      <c r="D277" s="2">
        <v>0</v>
      </c>
      <c r="E277" s="2">
        <f>240*D277</f>
        <v>0</v>
      </c>
      <c r="F277" s="2">
        <f>195*D277</f>
        <v>0</v>
      </c>
      <c r="G277" s="2">
        <f>45*D277</f>
        <v>0</v>
      </c>
      <c r="H277" s="2">
        <v>0</v>
      </c>
      <c r="I277" s="2">
        <f>60*D277</f>
        <v>0</v>
      </c>
      <c r="J277" s="6">
        <v>0</v>
      </c>
      <c r="K277" s="2">
        <v>0</v>
      </c>
      <c r="L277" s="2">
        <f>30*D277*30</f>
        <v>0</v>
      </c>
      <c r="M277" s="2">
        <f>3*30*D277</f>
        <v>0</v>
      </c>
      <c r="N277" s="2"/>
    </row>
    <row r="278" spans="1:14" ht="12.75">
      <c r="A278" s="355"/>
      <c r="B278" s="337"/>
      <c r="C278" s="2" t="s">
        <v>59</v>
      </c>
      <c r="D278" s="2">
        <v>6</v>
      </c>
      <c r="E278" s="2">
        <f>255*D278</f>
        <v>1530</v>
      </c>
      <c r="F278" s="2">
        <f>210*D278</f>
        <v>1260</v>
      </c>
      <c r="G278" s="2">
        <f>60*D278</f>
        <v>360</v>
      </c>
      <c r="H278" s="2">
        <v>0</v>
      </c>
      <c r="I278" s="2">
        <f>51*D278</f>
        <v>306</v>
      </c>
      <c r="J278" s="6">
        <v>0</v>
      </c>
      <c r="K278" s="2">
        <v>0</v>
      </c>
      <c r="L278" s="2">
        <f>35*D278*30</f>
        <v>6300</v>
      </c>
      <c r="M278" s="2">
        <f>3*30*D278</f>
        <v>540</v>
      </c>
      <c r="N278" s="2"/>
    </row>
    <row r="279" spans="1:14" ht="12.75">
      <c r="A279" s="355"/>
      <c r="B279" s="337"/>
      <c r="C279" s="2" t="s">
        <v>65</v>
      </c>
      <c r="D279" s="2">
        <v>9</v>
      </c>
      <c r="E279" s="2">
        <f>270*D279</f>
        <v>2430</v>
      </c>
      <c r="F279" s="2">
        <f>220*D279</f>
        <v>1980</v>
      </c>
      <c r="G279" s="2">
        <f>60*D279</f>
        <v>540</v>
      </c>
      <c r="H279" s="2">
        <v>0</v>
      </c>
      <c r="I279" s="2">
        <f>56*D279</f>
        <v>504</v>
      </c>
      <c r="J279" s="6">
        <v>0</v>
      </c>
      <c r="K279" s="2">
        <v>0</v>
      </c>
      <c r="L279" s="2">
        <f>40*D279*30</f>
        <v>10800</v>
      </c>
      <c r="M279" s="2">
        <f>3*30*D279</f>
        <v>810</v>
      </c>
      <c r="N279" s="2"/>
    </row>
    <row r="280" spans="1:14" ht="12.75">
      <c r="A280" s="355"/>
      <c r="B280" s="337"/>
      <c r="C280" s="2" t="s">
        <v>67</v>
      </c>
      <c r="D280" s="2">
        <v>3</v>
      </c>
      <c r="E280" s="2">
        <f>270*D280</f>
        <v>810</v>
      </c>
      <c r="F280" s="2">
        <f>220*D280</f>
        <v>660</v>
      </c>
      <c r="G280" s="2">
        <f>75*D280</f>
        <v>225</v>
      </c>
      <c r="H280" s="2">
        <v>0</v>
      </c>
      <c r="I280" s="2">
        <f>60*D280</f>
        <v>180</v>
      </c>
      <c r="J280" s="6">
        <v>0</v>
      </c>
      <c r="K280" s="2">
        <v>0</v>
      </c>
      <c r="L280" s="2">
        <f>40*D280*30</f>
        <v>3600</v>
      </c>
      <c r="M280" s="2">
        <f>125+3*30*D280</f>
        <v>395</v>
      </c>
      <c r="N280" s="2"/>
    </row>
    <row r="281" spans="1:15" ht="12.75">
      <c r="A281" s="355"/>
      <c r="B281" s="332" t="s">
        <v>68</v>
      </c>
      <c r="C281" s="333"/>
      <c r="D281" s="4">
        <f>SUM(D266:D280)</f>
        <v>154</v>
      </c>
      <c r="E281" s="4">
        <f aca="true" t="shared" si="46" ref="E281:L281">SUM(E266:E280)</f>
        <v>62244</v>
      </c>
      <c r="F281" s="4">
        <f t="shared" si="46"/>
        <v>62558</v>
      </c>
      <c r="G281" s="4">
        <f t="shared" si="46"/>
        <v>8611</v>
      </c>
      <c r="H281" s="4">
        <f t="shared" si="46"/>
        <v>816</v>
      </c>
      <c r="I281" s="4">
        <f t="shared" si="46"/>
        <v>1560</v>
      </c>
      <c r="J281" s="6">
        <f t="shared" si="46"/>
        <v>0</v>
      </c>
      <c r="K281" s="4">
        <f t="shared" si="46"/>
        <v>1880</v>
      </c>
      <c r="L281" s="4">
        <f t="shared" si="46"/>
        <v>361260</v>
      </c>
      <c r="M281" s="4">
        <f>SUM(M266:M280)</f>
        <v>19055</v>
      </c>
      <c r="N281" s="4">
        <f>12*40+150*2+5*14*12+M281</f>
        <v>20675</v>
      </c>
      <c r="O281" s="12"/>
    </row>
    <row r="282" spans="1:14" ht="12.75">
      <c r="A282" s="355"/>
      <c r="B282" s="337">
        <v>6</v>
      </c>
      <c r="C282" s="2" t="s">
        <v>29</v>
      </c>
      <c r="D282" s="2">
        <v>36</v>
      </c>
      <c r="E282" s="3">
        <f>20*D282*30</f>
        <v>21600</v>
      </c>
      <c r="F282" s="2">
        <f>15*D282*30</f>
        <v>16200</v>
      </c>
      <c r="G282" s="2">
        <f>2*D282*30</f>
        <v>2160</v>
      </c>
      <c r="H282" s="3">
        <v>0</v>
      </c>
      <c r="I282" s="2">
        <v>0</v>
      </c>
      <c r="J282" s="6">
        <v>0</v>
      </c>
      <c r="K282" s="3">
        <v>0</v>
      </c>
      <c r="L282" s="2">
        <f>100*D282*30</f>
        <v>108000</v>
      </c>
      <c r="M282" s="2">
        <f>140*D282</f>
        <v>5040</v>
      </c>
      <c r="N282" s="2"/>
    </row>
    <row r="283" spans="1:14" ht="12.75">
      <c r="A283" s="355"/>
      <c r="B283" s="337"/>
      <c r="C283" s="2" t="s">
        <v>36</v>
      </c>
      <c r="D283" s="2">
        <v>62</v>
      </c>
      <c r="E283" s="2">
        <f>15*D283*30</f>
        <v>27900</v>
      </c>
      <c r="F283" s="2">
        <f>20*D283*30</f>
        <v>37200</v>
      </c>
      <c r="G283" s="2">
        <f>2*D283*30</f>
        <v>3720</v>
      </c>
      <c r="H283" s="2">
        <v>0</v>
      </c>
      <c r="I283" s="2">
        <v>0</v>
      </c>
      <c r="J283" s="6">
        <v>0</v>
      </c>
      <c r="K283" s="2">
        <v>0</v>
      </c>
      <c r="L283" s="2">
        <f>100*D283*30</f>
        <v>186000</v>
      </c>
      <c r="M283" s="2">
        <f>140*D283</f>
        <v>8680</v>
      </c>
      <c r="N283" s="2"/>
    </row>
    <row r="284" spans="1:14" ht="12.75">
      <c r="A284" s="355"/>
      <c r="B284" s="337"/>
      <c r="C284" s="2" t="s">
        <v>51</v>
      </c>
      <c r="D284" s="2">
        <v>10</v>
      </c>
      <c r="E284" s="2">
        <f>20*D284*30</f>
        <v>6000</v>
      </c>
      <c r="F284" s="2">
        <f>5*D284*30</f>
        <v>1500</v>
      </c>
      <c r="G284" s="2">
        <f>4*D284*30</f>
        <v>1200</v>
      </c>
      <c r="H284" s="2">
        <v>0</v>
      </c>
      <c r="I284" s="2">
        <v>0</v>
      </c>
      <c r="J284" s="6">
        <v>0</v>
      </c>
      <c r="K284" s="2">
        <v>0</v>
      </c>
      <c r="L284" s="2">
        <f>100*D284*30</f>
        <v>30000</v>
      </c>
      <c r="M284" s="2">
        <f>140*D284</f>
        <v>1400</v>
      </c>
      <c r="N284" s="2"/>
    </row>
    <row r="285" spans="1:14" ht="12.75">
      <c r="A285" s="355"/>
      <c r="B285" s="337"/>
      <c r="C285" s="2" t="s">
        <v>30</v>
      </c>
      <c r="D285" s="2">
        <v>0</v>
      </c>
      <c r="E285" s="3">
        <f>3*D285</f>
        <v>0</v>
      </c>
      <c r="F285" s="2">
        <v>0</v>
      </c>
      <c r="G285" s="2">
        <f>6*D285</f>
        <v>0</v>
      </c>
      <c r="H285" s="2">
        <f>10*D285</f>
        <v>0</v>
      </c>
      <c r="I285" s="2">
        <v>0</v>
      </c>
      <c r="J285" s="6">
        <v>0</v>
      </c>
      <c r="K285" s="2">
        <f>170*D285</f>
        <v>0</v>
      </c>
      <c r="L285" s="2">
        <f aca="true" t="shared" si="47" ref="L285:L290">18*D285*30</f>
        <v>0</v>
      </c>
      <c r="M285" s="3">
        <v>0</v>
      </c>
      <c r="N285" s="2"/>
    </row>
    <row r="286" spans="1:14" ht="12.75">
      <c r="A286" s="355"/>
      <c r="B286" s="337"/>
      <c r="C286" s="2" t="s">
        <v>32</v>
      </c>
      <c r="D286" s="2">
        <v>2</v>
      </c>
      <c r="E286" s="2">
        <f>14*D286</f>
        <v>28</v>
      </c>
      <c r="F286" s="2">
        <v>0</v>
      </c>
      <c r="G286" s="2">
        <f>9*D286</f>
        <v>18</v>
      </c>
      <c r="H286" s="2">
        <f>45*D286</f>
        <v>90</v>
      </c>
      <c r="I286" s="2">
        <v>0</v>
      </c>
      <c r="J286" s="6">
        <v>0</v>
      </c>
      <c r="K286" s="2">
        <f>90*D286</f>
        <v>180</v>
      </c>
      <c r="L286" s="2">
        <f t="shared" si="47"/>
        <v>1080</v>
      </c>
      <c r="M286" s="3">
        <f>75+1.5*30*D286</f>
        <v>165</v>
      </c>
      <c r="N286" s="2"/>
    </row>
    <row r="287" spans="1:14" ht="12.75">
      <c r="A287" s="355"/>
      <c r="B287" s="337"/>
      <c r="C287" s="2" t="s">
        <v>34</v>
      </c>
      <c r="D287" s="2">
        <v>2</v>
      </c>
      <c r="E287" s="2">
        <f>15*D287</f>
        <v>30</v>
      </c>
      <c r="F287" s="2">
        <v>0</v>
      </c>
      <c r="G287" s="2">
        <f>13*D287</f>
        <v>26</v>
      </c>
      <c r="H287" s="2">
        <f>72*D287</f>
        <v>144</v>
      </c>
      <c r="I287" s="2">
        <v>0</v>
      </c>
      <c r="J287" s="6">
        <v>0</v>
      </c>
      <c r="K287" s="2">
        <v>0</v>
      </c>
      <c r="L287" s="2">
        <f t="shared" si="47"/>
        <v>1080</v>
      </c>
      <c r="M287" s="2">
        <f>1.5*30*D287</f>
        <v>90</v>
      </c>
      <c r="N287" s="2"/>
    </row>
    <row r="288" spans="1:14" ht="12.75">
      <c r="A288" s="355"/>
      <c r="B288" s="337"/>
      <c r="C288" s="2" t="s">
        <v>37</v>
      </c>
      <c r="D288" s="2">
        <v>2</v>
      </c>
      <c r="E288" s="2">
        <f>21*D288</f>
        <v>42</v>
      </c>
      <c r="F288" s="3">
        <v>0</v>
      </c>
      <c r="G288" s="2">
        <f>21*D288</f>
        <v>42</v>
      </c>
      <c r="H288" s="2">
        <f>80*D288</f>
        <v>160</v>
      </c>
      <c r="I288" s="3">
        <v>0</v>
      </c>
      <c r="J288" s="6">
        <v>0</v>
      </c>
      <c r="K288" s="3">
        <v>0</v>
      </c>
      <c r="L288" s="2">
        <f t="shared" si="47"/>
        <v>1080</v>
      </c>
      <c r="M288" s="2">
        <f>1.5*30*D288</f>
        <v>90</v>
      </c>
      <c r="N288" s="2"/>
    </row>
    <row r="289" spans="1:14" ht="12.75">
      <c r="A289" s="355"/>
      <c r="B289" s="337"/>
      <c r="C289" s="2" t="s">
        <v>39</v>
      </c>
      <c r="D289" s="2">
        <v>2</v>
      </c>
      <c r="E289" s="2">
        <f>24*D289</f>
        <v>48</v>
      </c>
      <c r="F289" s="2">
        <f>20*D289</f>
        <v>40</v>
      </c>
      <c r="G289" s="2">
        <f>25*D289</f>
        <v>50</v>
      </c>
      <c r="H289" s="2">
        <f>83*D289</f>
        <v>166</v>
      </c>
      <c r="I289" s="2">
        <v>0</v>
      </c>
      <c r="J289" s="6">
        <v>0</v>
      </c>
      <c r="K289" s="2">
        <v>0</v>
      </c>
      <c r="L289" s="2">
        <f t="shared" si="47"/>
        <v>1080</v>
      </c>
      <c r="M289" s="2">
        <f>1.5*30*D289</f>
        <v>90</v>
      </c>
      <c r="N289" s="2"/>
    </row>
    <row r="290" spans="1:14" ht="12.75">
      <c r="A290" s="355"/>
      <c r="B290" s="337"/>
      <c r="C290" s="2" t="s">
        <v>42</v>
      </c>
      <c r="D290" s="2">
        <v>2</v>
      </c>
      <c r="E290" s="2">
        <f>58*D290</f>
        <v>116</v>
      </c>
      <c r="F290" s="2">
        <f>44*D290</f>
        <v>88</v>
      </c>
      <c r="G290" s="2">
        <f>135*D290</f>
        <v>270</v>
      </c>
      <c r="H290" s="2">
        <f>78*D290</f>
        <v>156</v>
      </c>
      <c r="I290" s="2">
        <v>0</v>
      </c>
      <c r="J290" s="6">
        <v>0</v>
      </c>
      <c r="K290" s="2">
        <v>0</v>
      </c>
      <c r="L290" s="2">
        <f t="shared" si="47"/>
        <v>1080</v>
      </c>
      <c r="M290" s="2">
        <f>1.5*30*D290</f>
        <v>90</v>
      </c>
      <c r="N290" s="2"/>
    </row>
    <row r="291" spans="1:14" ht="12.75">
      <c r="A291" s="355"/>
      <c r="B291" s="337"/>
      <c r="C291" s="2" t="s">
        <v>48</v>
      </c>
      <c r="D291" s="2">
        <v>6</v>
      </c>
      <c r="E291" s="2">
        <f>165*D291</f>
        <v>990</v>
      </c>
      <c r="F291" s="2">
        <f>105*D291</f>
        <v>630</v>
      </c>
      <c r="G291" s="2">
        <f>45*D291</f>
        <v>270</v>
      </c>
      <c r="H291" s="2">
        <v>0</v>
      </c>
      <c r="I291" s="2">
        <f>75*D291</f>
        <v>450</v>
      </c>
      <c r="J291" s="6">
        <v>0</v>
      </c>
      <c r="K291" s="2">
        <v>0</v>
      </c>
      <c r="L291" s="2">
        <f>24*D291*30</f>
        <v>4320</v>
      </c>
      <c r="M291" s="2">
        <f aca="true" t="shared" si="48" ref="M291:M296">3*30*D291</f>
        <v>540</v>
      </c>
      <c r="N291" s="2"/>
    </row>
    <row r="292" spans="1:14" ht="12.75">
      <c r="A292" s="355"/>
      <c r="B292" s="337"/>
      <c r="C292" s="2" t="s">
        <v>52</v>
      </c>
      <c r="D292" s="2">
        <v>4</v>
      </c>
      <c r="E292" s="2">
        <f>195*D292</f>
        <v>780</v>
      </c>
      <c r="F292" s="2">
        <f>150*D292</f>
        <v>600</v>
      </c>
      <c r="G292" s="2">
        <f>135*D292</f>
        <v>540</v>
      </c>
      <c r="H292" s="2">
        <v>0</v>
      </c>
      <c r="I292" s="2">
        <f>60*D292</f>
        <v>240</v>
      </c>
      <c r="J292" s="6">
        <v>0</v>
      </c>
      <c r="K292" s="2">
        <v>0</v>
      </c>
      <c r="L292" s="2">
        <f>24*D292*30</f>
        <v>2880</v>
      </c>
      <c r="M292" s="2">
        <f t="shared" si="48"/>
        <v>360</v>
      </c>
      <c r="N292" s="2"/>
    </row>
    <row r="293" spans="1:14" ht="12.75">
      <c r="A293" s="355"/>
      <c r="B293" s="337"/>
      <c r="C293" s="2" t="s">
        <v>55</v>
      </c>
      <c r="D293" s="2">
        <v>0</v>
      </c>
      <c r="E293" s="2">
        <f>240*D293</f>
        <v>0</v>
      </c>
      <c r="F293" s="2">
        <f>195*D293</f>
        <v>0</v>
      </c>
      <c r="G293" s="2">
        <f>45*D293</f>
        <v>0</v>
      </c>
      <c r="H293" s="2">
        <v>0</v>
      </c>
      <c r="I293" s="2">
        <f>60*D293</f>
        <v>0</v>
      </c>
      <c r="J293" s="6">
        <v>0</v>
      </c>
      <c r="K293" s="2">
        <v>0</v>
      </c>
      <c r="L293" s="2">
        <f>30*D293*30</f>
        <v>0</v>
      </c>
      <c r="M293" s="2">
        <f t="shared" si="48"/>
        <v>0</v>
      </c>
      <c r="N293" s="2"/>
    </row>
    <row r="294" spans="1:14" ht="12.75">
      <c r="A294" s="355"/>
      <c r="B294" s="337"/>
      <c r="C294" s="2" t="s">
        <v>59</v>
      </c>
      <c r="D294" s="2">
        <v>3</v>
      </c>
      <c r="E294" s="2">
        <f>255*D294</f>
        <v>765</v>
      </c>
      <c r="F294" s="2">
        <f>210*D294</f>
        <v>630</v>
      </c>
      <c r="G294" s="2">
        <f>60*D294</f>
        <v>180</v>
      </c>
      <c r="H294" s="2">
        <v>0</v>
      </c>
      <c r="I294" s="2">
        <f>51*D294</f>
        <v>153</v>
      </c>
      <c r="J294" s="6">
        <v>0</v>
      </c>
      <c r="K294" s="2">
        <v>0</v>
      </c>
      <c r="L294" s="2">
        <f>35*D294*30</f>
        <v>3150</v>
      </c>
      <c r="M294" s="2">
        <f t="shared" si="48"/>
        <v>270</v>
      </c>
      <c r="N294" s="2"/>
    </row>
    <row r="295" spans="1:14" ht="12.75">
      <c r="A295" s="355"/>
      <c r="B295" s="337"/>
      <c r="C295" s="2" t="s">
        <v>65</v>
      </c>
      <c r="D295" s="2">
        <v>9</v>
      </c>
      <c r="E295" s="2">
        <f>270*D295</f>
        <v>2430</v>
      </c>
      <c r="F295" s="2">
        <f>220*D295</f>
        <v>1980</v>
      </c>
      <c r="G295" s="2">
        <f>60*D295</f>
        <v>540</v>
      </c>
      <c r="H295" s="2">
        <v>0</v>
      </c>
      <c r="I295" s="2">
        <f>56*D295</f>
        <v>504</v>
      </c>
      <c r="J295" s="6">
        <v>0</v>
      </c>
      <c r="K295" s="2">
        <v>0</v>
      </c>
      <c r="L295" s="2">
        <f>40*D295*30</f>
        <v>10800</v>
      </c>
      <c r="M295" s="2">
        <f t="shared" si="48"/>
        <v>810</v>
      </c>
      <c r="N295" s="2"/>
    </row>
    <row r="296" spans="1:14" ht="12.75">
      <c r="A296" s="355"/>
      <c r="B296" s="337"/>
      <c r="C296" s="2" t="s">
        <v>22</v>
      </c>
      <c r="D296" s="2">
        <v>6</v>
      </c>
      <c r="E296" s="2">
        <f>270*D296</f>
        <v>1620</v>
      </c>
      <c r="F296" s="2">
        <f>220*D296</f>
        <v>1320</v>
      </c>
      <c r="G296" s="2">
        <f>75*D296</f>
        <v>450</v>
      </c>
      <c r="H296" s="2">
        <v>0</v>
      </c>
      <c r="I296" s="2">
        <f>60*D296</f>
        <v>360</v>
      </c>
      <c r="J296" s="6">
        <v>0</v>
      </c>
      <c r="K296" s="2">
        <v>0</v>
      </c>
      <c r="L296" s="2">
        <f>40*D296*30</f>
        <v>7200</v>
      </c>
      <c r="M296" s="2">
        <f t="shared" si="48"/>
        <v>540</v>
      </c>
      <c r="N296" s="2"/>
    </row>
    <row r="297" spans="1:15" ht="12.75">
      <c r="A297" s="356"/>
      <c r="B297" s="332" t="s">
        <v>69</v>
      </c>
      <c r="C297" s="333"/>
      <c r="D297" s="4">
        <f>SUM(D282:D296)</f>
        <v>146</v>
      </c>
      <c r="E297" s="4">
        <f aca="true" t="shared" si="49" ref="E297:L297">SUM(E282:E296)</f>
        <v>62349</v>
      </c>
      <c r="F297" s="4">
        <f t="shared" si="49"/>
        <v>60188</v>
      </c>
      <c r="G297" s="4">
        <f t="shared" si="49"/>
        <v>9466</v>
      </c>
      <c r="H297" s="4">
        <f t="shared" si="49"/>
        <v>716</v>
      </c>
      <c r="I297" s="4">
        <f t="shared" si="49"/>
        <v>1707</v>
      </c>
      <c r="J297" s="6">
        <f t="shared" si="49"/>
        <v>0</v>
      </c>
      <c r="K297" s="4">
        <f t="shared" si="49"/>
        <v>180</v>
      </c>
      <c r="L297" s="4">
        <f t="shared" si="49"/>
        <v>357750</v>
      </c>
      <c r="M297" s="4">
        <f>SUM(M282:M296)</f>
        <v>18165</v>
      </c>
      <c r="N297" s="4">
        <f>M297</f>
        <v>18165</v>
      </c>
      <c r="O297" s="12"/>
    </row>
    <row r="298" spans="1:14" ht="12.75">
      <c r="A298" s="351">
        <v>3</v>
      </c>
      <c r="B298" s="337">
        <v>7</v>
      </c>
      <c r="C298" s="2" t="s">
        <v>29</v>
      </c>
      <c r="D298" s="2">
        <v>24</v>
      </c>
      <c r="E298" s="3">
        <f>20*D298*30</f>
        <v>14400</v>
      </c>
      <c r="F298" s="2">
        <f>15*D298*30</f>
        <v>10800</v>
      </c>
      <c r="G298" s="2">
        <f>2*D298*30</f>
        <v>1440</v>
      </c>
      <c r="H298" s="3">
        <v>0</v>
      </c>
      <c r="I298" s="2">
        <v>0</v>
      </c>
      <c r="J298" s="6">
        <v>0</v>
      </c>
      <c r="K298" s="3">
        <v>0</v>
      </c>
      <c r="L298" s="2">
        <f>100*D298*30</f>
        <v>72000</v>
      </c>
      <c r="M298" s="2">
        <f>140*D298</f>
        <v>3360</v>
      </c>
      <c r="N298" s="2"/>
    </row>
    <row r="299" spans="1:14" ht="12.75">
      <c r="A299" s="352"/>
      <c r="B299" s="337"/>
      <c r="C299" s="2" t="s">
        <v>36</v>
      </c>
      <c r="D299" s="2">
        <v>64</v>
      </c>
      <c r="E299" s="2">
        <f>15*D299*30</f>
        <v>28800</v>
      </c>
      <c r="F299" s="2">
        <f>20*D299*30</f>
        <v>38400</v>
      </c>
      <c r="G299" s="2">
        <f>2*D299*30</f>
        <v>3840</v>
      </c>
      <c r="H299" s="2">
        <v>0</v>
      </c>
      <c r="I299" s="2">
        <v>0</v>
      </c>
      <c r="J299" s="6">
        <v>0</v>
      </c>
      <c r="K299" s="2">
        <v>0</v>
      </c>
      <c r="L299" s="2">
        <f>100*D299*30</f>
        <v>192000</v>
      </c>
      <c r="M299" s="2">
        <f>140*D299</f>
        <v>8960</v>
      </c>
      <c r="N299" s="2"/>
    </row>
    <row r="300" spans="1:14" ht="12.75">
      <c r="A300" s="352"/>
      <c r="B300" s="337"/>
      <c r="C300" s="2" t="s">
        <v>51</v>
      </c>
      <c r="D300" s="2">
        <v>20</v>
      </c>
      <c r="E300" s="2">
        <f>20*D300*30</f>
        <v>12000</v>
      </c>
      <c r="F300" s="2">
        <f>5*D300*30</f>
        <v>3000</v>
      </c>
      <c r="G300" s="2">
        <f>4*D300*30</f>
        <v>2400</v>
      </c>
      <c r="H300" s="2">
        <v>0</v>
      </c>
      <c r="I300" s="2">
        <v>0</v>
      </c>
      <c r="J300" s="6">
        <v>0</v>
      </c>
      <c r="K300" s="2">
        <v>0</v>
      </c>
      <c r="L300" s="2">
        <f>100*D300*30</f>
        <v>60000</v>
      </c>
      <c r="M300" s="2">
        <f>140*D300</f>
        <v>2800</v>
      </c>
      <c r="N300" s="2"/>
    </row>
    <row r="301" spans="1:14" ht="12.75">
      <c r="A301" s="352"/>
      <c r="B301" s="337"/>
      <c r="C301" s="2" t="s">
        <v>30</v>
      </c>
      <c r="D301" s="2">
        <v>0</v>
      </c>
      <c r="E301" s="3">
        <f>3*D301</f>
        <v>0</v>
      </c>
      <c r="F301" s="2">
        <v>0</v>
      </c>
      <c r="G301" s="2">
        <f>6*D301</f>
        <v>0</v>
      </c>
      <c r="H301" s="2">
        <f>10*D301</f>
        <v>0</v>
      </c>
      <c r="I301" s="2">
        <v>0</v>
      </c>
      <c r="J301" s="6">
        <v>0</v>
      </c>
      <c r="K301" s="2">
        <f>170*D301</f>
        <v>0</v>
      </c>
      <c r="L301" s="2">
        <f aca="true" t="shared" si="50" ref="L301:L306">18*D301*30</f>
        <v>0</v>
      </c>
      <c r="M301" s="3">
        <v>0</v>
      </c>
      <c r="N301" s="2"/>
    </row>
    <row r="302" spans="1:14" ht="12.75">
      <c r="A302" s="352"/>
      <c r="B302" s="337"/>
      <c r="C302" s="2" t="s">
        <v>32</v>
      </c>
      <c r="D302" s="2">
        <v>0</v>
      </c>
      <c r="E302" s="2">
        <f>14*D302</f>
        <v>0</v>
      </c>
      <c r="F302" s="2">
        <v>0</v>
      </c>
      <c r="G302" s="2">
        <f>9*D302</f>
        <v>0</v>
      </c>
      <c r="H302" s="2">
        <f>45*D302</f>
        <v>0</v>
      </c>
      <c r="I302" s="2">
        <v>0</v>
      </c>
      <c r="J302" s="6">
        <v>0</v>
      </c>
      <c r="K302" s="2">
        <f>90*D302</f>
        <v>0</v>
      </c>
      <c r="L302" s="2">
        <f t="shared" si="50"/>
        <v>0</v>
      </c>
      <c r="M302" s="3">
        <v>0</v>
      </c>
      <c r="N302" s="2"/>
    </row>
    <row r="303" spans="1:14" ht="12.75">
      <c r="A303" s="352"/>
      <c r="B303" s="337"/>
      <c r="C303" s="2" t="s">
        <v>34</v>
      </c>
      <c r="D303" s="2">
        <v>2</v>
      </c>
      <c r="E303" s="2">
        <f>15*D303</f>
        <v>30</v>
      </c>
      <c r="F303" s="2">
        <v>0</v>
      </c>
      <c r="G303" s="2">
        <f>13*D303</f>
        <v>26</v>
      </c>
      <c r="H303" s="2">
        <f>72*D303</f>
        <v>144</v>
      </c>
      <c r="I303" s="2">
        <v>0</v>
      </c>
      <c r="J303" s="6">
        <v>0</v>
      </c>
      <c r="K303" s="2">
        <v>0</v>
      </c>
      <c r="L303" s="2">
        <f t="shared" si="50"/>
        <v>1080</v>
      </c>
      <c r="M303" s="2">
        <f>1.5*30*D303</f>
        <v>90</v>
      </c>
      <c r="N303" s="2"/>
    </row>
    <row r="304" spans="1:14" ht="12.75">
      <c r="A304" s="352"/>
      <c r="B304" s="337"/>
      <c r="C304" s="2" t="s">
        <v>37</v>
      </c>
      <c r="D304" s="2">
        <v>2</v>
      </c>
      <c r="E304" s="2">
        <f>21*D304</f>
        <v>42</v>
      </c>
      <c r="F304" s="3">
        <v>0</v>
      </c>
      <c r="G304" s="2">
        <f>21*D304</f>
        <v>42</v>
      </c>
      <c r="H304" s="2">
        <f>80*D304</f>
        <v>160</v>
      </c>
      <c r="I304" s="3">
        <v>0</v>
      </c>
      <c r="J304" s="6">
        <v>0</v>
      </c>
      <c r="K304" s="3">
        <v>0</v>
      </c>
      <c r="L304" s="2">
        <f t="shared" si="50"/>
        <v>1080</v>
      </c>
      <c r="M304" s="2">
        <f>1.5*30*D304</f>
        <v>90</v>
      </c>
      <c r="N304" s="2"/>
    </row>
    <row r="305" spans="1:14" ht="12.75">
      <c r="A305" s="352"/>
      <c r="B305" s="337"/>
      <c r="C305" s="2" t="s">
        <v>39</v>
      </c>
      <c r="D305" s="2">
        <v>2</v>
      </c>
      <c r="E305" s="2">
        <f>24*D305</f>
        <v>48</v>
      </c>
      <c r="F305" s="2">
        <f>20*D305</f>
        <v>40</v>
      </c>
      <c r="G305" s="2">
        <f>25*D305</f>
        <v>50</v>
      </c>
      <c r="H305" s="2">
        <f>83*D305</f>
        <v>166</v>
      </c>
      <c r="I305" s="2">
        <v>0</v>
      </c>
      <c r="J305" s="6">
        <v>0</v>
      </c>
      <c r="K305" s="2">
        <v>0</v>
      </c>
      <c r="L305" s="2">
        <f t="shared" si="50"/>
        <v>1080</v>
      </c>
      <c r="M305" s="2">
        <f>1.5*30*D305</f>
        <v>90</v>
      </c>
      <c r="N305" s="2"/>
    </row>
    <row r="306" spans="1:14" ht="12.75">
      <c r="A306" s="352"/>
      <c r="B306" s="337"/>
      <c r="C306" s="2" t="s">
        <v>42</v>
      </c>
      <c r="D306" s="2">
        <v>2</v>
      </c>
      <c r="E306" s="2">
        <f>58*D306</f>
        <v>116</v>
      </c>
      <c r="F306" s="2">
        <f>44*D306</f>
        <v>88</v>
      </c>
      <c r="G306" s="2">
        <f>135*D306</f>
        <v>270</v>
      </c>
      <c r="H306" s="2">
        <f>78*D306</f>
        <v>156</v>
      </c>
      <c r="I306" s="2">
        <v>0</v>
      </c>
      <c r="J306" s="6">
        <v>0</v>
      </c>
      <c r="K306" s="2">
        <v>0</v>
      </c>
      <c r="L306" s="2">
        <f t="shared" si="50"/>
        <v>1080</v>
      </c>
      <c r="M306" s="2">
        <f>1.5*30*D306</f>
        <v>90</v>
      </c>
      <c r="N306" s="2"/>
    </row>
    <row r="307" spans="1:14" ht="12.75">
      <c r="A307" s="352"/>
      <c r="B307" s="337"/>
      <c r="C307" s="2" t="s">
        <v>48</v>
      </c>
      <c r="D307" s="2">
        <v>6</v>
      </c>
      <c r="E307" s="2">
        <f>165*D307</f>
        <v>990</v>
      </c>
      <c r="F307" s="2">
        <f>105*D307</f>
        <v>630</v>
      </c>
      <c r="G307" s="2">
        <f>45*D307</f>
        <v>270</v>
      </c>
      <c r="H307" s="2">
        <v>0</v>
      </c>
      <c r="I307" s="2">
        <f>75*D307</f>
        <v>450</v>
      </c>
      <c r="J307" s="6">
        <v>0</v>
      </c>
      <c r="K307" s="2">
        <v>0</v>
      </c>
      <c r="L307" s="2">
        <f>24*D307*30</f>
        <v>4320</v>
      </c>
      <c r="M307" s="2">
        <f>125+3*30*D307</f>
        <v>665</v>
      </c>
      <c r="N307" s="2"/>
    </row>
    <row r="308" spans="1:14" ht="12.75">
      <c r="A308" s="352"/>
      <c r="B308" s="337"/>
      <c r="C308" s="2" t="s">
        <v>52</v>
      </c>
      <c r="D308" s="2">
        <v>6</v>
      </c>
      <c r="E308" s="2">
        <f>195*D308</f>
        <v>1170</v>
      </c>
      <c r="F308" s="2">
        <f>150*D308</f>
        <v>900</v>
      </c>
      <c r="G308" s="2">
        <f>135*D308</f>
        <v>810</v>
      </c>
      <c r="H308" s="2">
        <v>0</v>
      </c>
      <c r="I308" s="2">
        <f>60*D308</f>
        <v>360</v>
      </c>
      <c r="J308" s="6">
        <v>0</v>
      </c>
      <c r="K308" s="2">
        <v>0</v>
      </c>
      <c r="L308" s="2">
        <f>24*D308*30</f>
        <v>4320</v>
      </c>
      <c r="M308" s="2">
        <f>3*30*D308</f>
        <v>540</v>
      </c>
      <c r="N308" s="2"/>
    </row>
    <row r="309" spans="1:14" ht="12.75">
      <c r="A309" s="352"/>
      <c r="B309" s="337"/>
      <c r="C309" s="2" t="s">
        <v>55</v>
      </c>
      <c r="D309" s="2">
        <v>0</v>
      </c>
      <c r="E309" s="2">
        <f>240*D309</f>
        <v>0</v>
      </c>
      <c r="F309" s="2">
        <f>195*D309</f>
        <v>0</v>
      </c>
      <c r="G309" s="2">
        <f>45*D309</f>
        <v>0</v>
      </c>
      <c r="H309" s="2">
        <v>0</v>
      </c>
      <c r="I309" s="2">
        <f>60*D309</f>
        <v>0</v>
      </c>
      <c r="J309" s="6">
        <v>0</v>
      </c>
      <c r="K309" s="2">
        <v>0</v>
      </c>
      <c r="L309" s="2">
        <f>30*D309*30</f>
        <v>0</v>
      </c>
      <c r="M309" s="2">
        <f>3*30*D309</f>
        <v>0</v>
      </c>
      <c r="N309" s="2"/>
    </row>
    <row r="310" spans="1:14" ht="12.75">
      <c r="A310" s="352"/>
      <c r="B310" s="337"/>
      <c r="C310" s="2" t="s">
        <v>59</v>
      </c>
      <c r="D310" s="2">
        <v>0</v>
      </c>
      <c r="E310" s="2">
        <f>255*D310</f>
        <v>0</v>
      </c>
      <c r="F310" s="2">
        <f>210*D310</f>
        <v>0</v>
      </c>
      <c r="G310" s="2">
        <f>60*D310</f>
        <v>0</v>
      </c>
      <c r="H310" s="2">
        <v>0</v>
      </c>
      <c r="I310" s="2">
        <f>51*D310</f>
        <v>0</v>
      </c>
      <c r="J310" s="6">
        <v>0</v>
      </c>
      <c r="K310" s="2">
        <v>0</v>
      </c>
      <c r="L310" s="2">
        <f>35*D310*30</f>
        <v>0</v>
      </c>
      <c r="M310" s="2">
        <f>120*D310</f>
        <v>0</v>
      </c>
      <c r="N310" s="2"/>
    </row>
    <row r="311" spans="1:14" ht="12.75">
      <c r="A311" s="352"/>
      <c r="B311" s="337"/>
      <c r="C311" s="2" t="s">
        <v>65</v>
      </c>
      <c r="D311" s="2">
        <v>9</v>
      </c>
      <c r="E311" s="2">
        <f>270*D311</f>
        <v>2430</v>
      </c>
      <c r="F311" s="2">
        <f>220*D311</f>
        <v>1980</v>
      </c>
      <c r="G311" s="2">
        <f>60*D311</f>
        <v>540</v>
      </c>
      <c r="H311" s="2">
        <v>0</v>
      </c>
      <c r="I311" s="2">
        <f>56*D311</f>
        <v>504</v>
      </c>
      <c r="J311" s="6">
        <v>0</v>
      </c>
      <c r="K311" s="2">
        <v>0</v>
      </c>
      <c r="L311" s="2">
        <f>40*D311*30</f>
        <v>10800</v>
      </c>
      <c r="M311" s="2">
        <f>3*30*D311</f>
        <v>810</v>
      </c>
      <c r="N311" s="2"/>
    </row>
    <row r="312" spans="1:14" ht="12.75">
      <c r="A312" s="352"/>
      <c r="B312" s="337"/>
      <c r="C312" s="2" t="s">
        <v>70</v>
      </c>
      <c r="D312" s="2">
        <v>9</v>
      </c>
      <c r="E312" s="2">
        <f>270*D312</f>
        <v>2430</v>
      </c>
      <c r="F312" s="2">
        <f>220*D312</f>
        <v>1980</v>
      </c>
      <c r="G312" s="2">
        <f>75*D312</f>
        <v>675</v>
      </c>
      <c r="H312" s="2">
        <v>0</v>
      </c>
      <c r="I312" s="2">
        <f>60*D312</f>
        <v>540</v>
      </c>
      <c r="J312" s="6">
        <v>0</v>
      </c>
      <c r="K312" s="2">
        <v>0</v>
      </c>
      <c r="L312" s="2">
        <f>40*D312*30</f>
        <v>10800</v>
      </c>
      <c r="M312" s="2">
        <f>125+3*30*D312</f>
        <v>935</v>
      </c>
      <c r="N312" s="2"/>
    </row>
    <row r="313" spans="1:15" ht="12.75">
      <c r="A313" s="352"/>
      <c r="B313" s="332" t="s">
        <v>71</v>
      </c>
      <c r="C313" s="333"/>
      <c r="D313" s="4">
        <f>SUM(D298:D312)</f>
        <v>146</v>
      </c>
      <c r="E313" s="4">
        <f aca="true" t="shared" si="51" ref="E313:L313">SUM(E298:E312)</f>
        <v>62456</v>
      </c>
      <c r="F313" s="4">
        <f t="shared" si="51"/>
        <v>57818</v>
      </c>
      <c r="G313" s="4">
        <f t="shared" si="51"/>
        <v>10363</v>
      </c>
      <c r="H313" s="4">
        <f t="shared" si="51"/>
        <v>626</v>
      </c>
      <c r="I313" s="4">
        <f t="shared" si="51"/>
        <v>1854</v>
      </c>
      <c r="J313" s="6">
        <f t="shared" si="51"/>
        <v>0</v>
      </c>
      <c r="K313" s="4">
        <f t="shared" si="51"/>
        <v>0</v>
      </c>
      <c r="L313" s="4">
        <f t="shared" si="51"/>
        <v>358560</v>
      </c>
      <c r="M313" s="4">
        <f>SUM(M298:M312)</f>
        <v>18430</v>
      </c>
      <c r="N313" s="4">
        <f>M313</f>
        <v>18430</v>
      </c>
      <c r="O313" s="12"/>
    </row>
    <row r="314" spans="1:14" ht="12.75">
      <c r="A314" s="352"/>
      <c r="B314" s="337">
        <v>8</v>
      </c>
      <c r="C314" s="2" t="s">
        <v>29</v>
      </c>
      <c r="D314" s="2">
        <v>24</v>
      </c>
      <c r="E314" s="3">
        <f>20*D314*30</f>
        <v>14400</v>
      </c>
      <c r="F314" s="2">
        <f>15*D314*30</f>
        <v>10800</v>
      </c>
      <c r="G314" s="2">
        <f>2*D314*30</f>
        <v>1440</v>
      </c>
      <c r="H314" s="3">
        <v>0</v>
      </c>
      <c r="I314" s="2">
        <v>0</v>
      </c>
      <c r="J314" s="6">
        <v>0</v>
      </c>
      <c r="K314" s="3">
        <v>0</v>
      </c>
      <c r="L314" s="2">
        <f>100*D314*30</f>
        <v>72000</v>
      </c>
      <c r="M314" s="2">
        <f>140*D314</f>
        <v>3360</v>
      </c>
      <c r="N314" s="2"/>
    </row>
    <row r="315" spans="1:14" ht="12.75">
      <c r="A315" s="352"/>
      <c r="B315" s="337"/>
      <c r="C315" s="2" t="s">
        <v>36</v>
      </c>
      <c r="D315" s="2">
        <v>64</v>
      </c>
      <c r="E315" s="2">
        <f>15*D315*30</f>
        <v>28800</v>
      </c>
      <c r="F315" s="2">
        <f>20*D315*30</f>
        <v>38400</v>
      </c>
      <c r="G315" s="2">
        <f>2*D315*30</f>
        <v>3840</v>
      </c>
      <c r="H315" s="2">
        <v>0</v>
      </c>
      <c r="I315" s="2">
        <v>0</v>
      </c>
      <c r="J315" s="6">
        <v>0</v>
      </c>
      <c r="K315" s="2">
        <v>0</v>
      </c>
      <c r="L315" s="2">
        <f>100*D315*30</f>
        <v>192000</v>
      </c>
      <c r="M315" s="2">
        <f>140*D315</f>
        <v>8960</v>
      </c>
      <c r="N315" s="2"/>
    </row>
    <row r="316" spans="1:14" ht="12.75">
      <c r="A316" s="352"/>
      <c r="B316" s="337"/>
      <c r="C316" s="2" t="s">
        <v>51</v>
      </c>
      <c r="D316" s="2">
        <v>20</v>
      </c>
      <c r="E316" s="2">
        <f>20*D316*30</f>
        <v>12000</v>
      </c>
      <c r="F316" s="2">
        <f>5*D316*30</f>
        <v>3000</v>
      </c>
      <c r="G316" s="2">
        <f>4*D316*30</f>
        <v>2400</v>
      </c>
      <c r="H316" s="2">
        <v>0</v>
      </c>
      <c r="I316" s="2">
        <v>0</v>
      </c>
      <c r="J316" s="6">
        <v>0</v>
      </c>
      <c r="K316" s="2">
        <v>0</v>
      </c>
      <c r="L316" s="2">
        <f>100*D316*30</f>
        <v>60000</v>
      </c>
      <c r="M316" s="2">
        <f>140*D316</f>
        <v>2800</v>
      </c>
      <c r="N316" s="2"/>
    </row>
    <row r="317" spans="1:14" ht="12.75">
      <c r="A317" s="352"/>
      <c r="B317" s="337"/>
      <c r="C317" s="2" t="s">
        <v>30</v>
      </c>
      <c r="D317" s="2">
        <v>10</v>
      </c>
      <c r="E317" s="3">
        <f>3*D317</f>
        <v>30</v>
      </c>
      <c r="F317" s="2">
        <v>0</v>
      </c>
      <c r="G317" s="2">
        <f>6*D317</f>
        <v>60</v>
      </c>
      <c r="H317" s="2">
        <f>10*D317</f>
        <v>100</v>
      </c>
      <c r="I317" s="2">
        <v>0</v>
      </c>
      <c r="J317" s="6">
        <v>0</v>
      </c>
      <c r="K317" s="2">
        <f>170*D317</f>
        <v>1700</v>
      </c>
      <c r="L317" s="2">
        <f aca="true" t="shared" si="52" ref="L317:L322">18*D317*30</f>
        <v>5400</v>
      </c>
      <c r="M317" s="3">
        <f>60*10</f>
        <v>600</v>
      </c>
      <c r="N317" s="2"/>
    </row>
    <row r="318" spans="1:14" ht="12.75">
      <c r="A318" s="352"/>
      <c r="B318" s="337"/>
      <c r="C318" s="2" t="s">
        <v>32</v>
      </c>
      <c r="D318" s="2">
        <v>0</v>
      </c>
      <c r="E318" s="2">
        <f>14*D318</f>
        <v>0</v>
      </c>
      <c r="F318" s="2">
        <v>0</v>
      </c>
      <c r="G318" s="2">
        <f>9*D318</f>
        <v>0</v>
      </c>
      <c r="H318" s="2">
        <f>45*D318</f>
        <v>0</v>
      </c>
      <c r="I318" s="2">
        <v>0</v>
      </c>
      <c r="J318" s="6">
        <v>0</v>
      </c>
      <c r="K318" s="2">
        <f>90*D318</f>
        <v>0</v>
      </c>
      <c r="L318" s="2">
        <f t="shared" si="52"/>
        <v>0</v>
      </c>
      <c r="M318" s="3">
        <v>0</v>
      </c>
      <c r="N318" s="2"/>
    </row>
    <row r="319" spans="1:14" ht="12.75">
      <c r="A319" s="352"/>
      <c r="B319" s="337"/>
      <c r="C319" s="2" t="s">
        <v>34</v>
      </c>
      <c r="D319" s="2">
        <v>0</v>
      </c>
      <c r="E319" s="2">
        <f>15*D319</f>
        <v>0</v>
      </c>
      <c r="F319" s="2">
        <v>0</v>
      </c>
      <c r="G319" s="2">
        <f>13*D319</f>
        <v>0</v>
      </c>
      <c r="H319" s="2">
        <f>72*D319</f>
        <v>0</v>
      </c>
      <c r="I319" s="2">
        <v>0</v>
      </c>
      <c r="J319" s="6">
        <v>0</v>
      </c>
      <c r="K319" s="2">
        <v>0</v>
      </c>
      <c r="L319" s="2">
        <f t="shared" si="52"/>
        <v>0</v>
      </c>
      <c r="M319" s="2">
        <v>0</v>
      </c>
      <c r="N319" s="2"/>
    </row>
    <row r="320" spans="1:14" ht="12.75">
      <c r="A320" s="352"/>
      <c r="B320" s="337"/>
      <c r="C320" s="2" t="s">
        <v>37</v>
      </c>
      <c r="D320" s="2">
        <v>2</v>
      </c>
      <c r="E320" s="2">
        <f>21*D320</f>
        <v>42</v>
      </c>
      <c r="F320" s="3">
        <v>0</v>
      </c>
      <c r="G320" s="2">
        <f>21*D320</f>
        <v>42</v>
      </c>
      <c r="H320" s="2">
        <f>80*D320</f>
        <v>160</v>
      </c>
      <c r="I320" s="3">
        <v>0</v>
      </c>
      <c r="J320" s="6">
        <v>0</v>
      </c>
      <c r="K320" s="3">
        <v>0</v>
      </c>
      <c r="L320" s="2">
        <f t="shared" si="52"/>
        <v>1080</v>
      </c>
      <c r="M320" s="2">
        <f>1.5*30*D320</f>
        <v>90</v>
      </c>
      <c r="N320" s="2"/>
    </row>
    <row r="321" spans="1:14" ht="12.75">
      <c r="A321" s="352"/>
      <c r="B321" s="337"/>
      <c r="C321" s="2" t="s">
        <v>39</v>
      </c>
      <c r="D321" s="2">
        <v>2</v>
      </c>
      <c r="E321" s="2">
        <f>24*D321</f>
        <v>48</v>
      </c>
      <c r="F321" s="2">
        <f>20*D321</f>
        <v>40</v>
      </c>
      <c r="G321" s="2">
        <f>25*D321</f>
        <v>50</v>
      </c>
      <c r="H321" s="2">
        <f>83*D321</f>
        <v>166</v>
      </c>
      <c r="I321" s="2">
        <v>0</v>
      </c>
      <c r="J321" s="6">
        <v>0</v>
      </c>
      <c r="K321" s="2">
        <v>0</v>
      </c>
      <c r="L321" s="2">
        <f t="shared" si="52"/>
        <v>1080</v>
      </c>
      <c r="M321" s="2">
        <f>1.5*30*D321</f>
        <v>90</v>
      </c>
      <c r="N321" s="2"/>
    </row>
    <row r="322" spans="1:14" ht="12.75">
      <c r="A322" s="352"/>
      <c r="B322" s="337"/>
      <c r="C322" s="2" t="s">
        <v>42</v>
      </c>
      <c r="D322" s="2">
        <v>2</v>
      </c>
      <c r="E322" s="2">
        <f>58*D322</f>
        <v>116</v>
      </c>
      <c r="F322" s="2">
        <f>44*D322</f>
        <v>88</v>
      </c>
      <c r="G322" s="2">
        <f>135*D322</f>
        <v>270</v>
      </c>
      <c r="H322" s="2">
        <f>78*D322</f>
        <v>156</v>
      </c>
      <c r="I322" s="2">
        <v>0</v>
      </c>
      <c r="J322" s="6">
        <v>0</v>
      </c>
      <c r="K322" s="2">
        <v>0</v>
      </c>
      <c r="L322" s="2">
        <f t="shared" si="52"/>
        <v>1080</v>
      </c>
      <c r="M322" s="2">
        <f>1.5*30*D322</f>
        <v>90</v>
      </c>
      <c r="N322" s="2"/>
    </row>
    <row r="323" spans="1:14" ht="12.75">
      <c r="A323" s="352"/>
      <c r="B323" s="337"/>
      <c r="C323" s="2" t="s">
        <v>48</v>
      </c>
      <c r="D323" s="2">
        <v>6</v>
      </c>
      <c r="E323" s="2">
        <f>165*D323</f>
        <v>990</v>
      </c>
      <c r="F323" s="2">
        <f>105*D323</f>
        <v>630</v>
      </c>
      <c r="G323" s="2">
        <f>45*D323</f>
        <v>270</v>
      </c>
      <c r="H323" s="2">
        <v>0</v>
      </c>
      <c r="I323" s="2">
        <f>75*D323</f>
        <v>450</v>
      </c>
      <c r="J323" s="6">
        <v>0</v>
      </c>
      <c r="K323" s="2">
        <v>0</v>
      </c>
      <c r="L323" s="2">
        <f>24*D323*30</f>
        <v>4320</v>
      </c>
      <c r="M323" s="2">
        <f>3*30*D323</f>
        <v>540</v>
      </c>
      <c r="N323" s="2"/>
    </row>
    <row r="324" spans="1:14" ht="12.75">
      <c r="A324" s="352"/>
      <c r="B324" s="337"/>
      <c r="C324" s="2" t="s">
        <v>52</v>
      </c>
      <c r="D324" s="2">
        <v>6</v>
      </c>
      <c r="E324" s="2">
        <f>195*D324</f>
        <v>1170</v>
      </c>
      <c r="F324" s="2">
        <f>150*D324</f>
        <v>900</v>
      </c>
      <c r="G324" s="2">
        <f>135*D324</f>
        <v>810</v>
      </c>
      <c r="H324" s="2">
        <v>0</v>
      </c>
      <c r="I324" s="2">
        <f>60*D324</f>
        <v>360</v>
      </c>
      <c r="J324" s="6">
        <v>0</v>
      </c>
      <c r="K324" s="2">
        <v>0</v>
      </c>
      <c r="L324" s="2">
        <f>24*D324*30</f>
        <v>4320</v>
      </c>
      <c r="M324" s="2">
        <f>3*30*D324</f>
        <v>540</v>
      </c>
      <c r="N324" s="2"/>
    </row>
    <row r="325" spans="1:14" ht="12.75">
      <c r="A325" s="352"/>
      <c r="B325" s="337"/>
      <c r="C325" s="2" t="s">
        <v>55</v>
      </c>
      <c r="D325" s="2">
        <v>2</v>
      </c>
      <c r="E325" s="2">
        <f>240*D325</f>
        <v>480</v>
      </c>
      <c r="F325" s="2">
        <f>195*D325</f>
        <v>390</v>
      </c>
      <c r="G325" s="2">
        <f>45*D325</f>
        <v>90</v>
      </c>
      <c r="H325" s="2">
        <v>0</v>
      </c>
      <c r="I325" s="2">
        <f>60*D325</f>
        <v>120</v>
      </c>
      <c r="J325" s="6">
        <v>0</v>
      </c>
      <c r="K325" s="2">
        <v>0</v>
      </c>
      <c r="L325" s="2">
        <f>30*D325*30</f>
        <v>1800</v>
      </c>
      <c r="M325" s="2">
        <f>125+3*30*D325</f>
        <v>305</v>
      </c>
      <c r="N325" s="2"/>
    </row>
    <row r="326" spans="1:14" ht="12.75">
      <c r="A326" s="352"/>
      <c r="B326" s="337"/>
      <c r="C326" s="2" t="s">
        <v>59</v>
      </c>
      <c r="D326" s="2">
        <v>0</v>
      </c>
      <c r="E326" s="2">
        <f>255*D326</f>
        <v>0</v>
      </c>
      <c r="F326" s="2">
        <f>210*D326</f>
        <v>0</v>
      </c>
      <c r="G326" s="2">
        <f>60*D326</f>
        <v>0</v>
      </c>
      <c r="H326" s="2">
        <v>0</v>
      </c>
      <c r="I326" s="2">
        <f>51*D326</f>
        <v>0</v>
      </c>
      <c r="J326" s="6">
        <v>0</v>
      </c>
      <c r="K326" s="2">
        <v>0</v>
      </c>
      <c r="L326" s="2">
        <f>35*D326*30</f>
        <v>0</v>
      </c>
      <c r="M326" s="2">
        <f>120*D326</f>
        <v>0</v>
      </c>
      <c r="N326" s="2"/>
    </row>
    <row r="327" spans="1:14" ht="12.75">
      <c r="A327" s="352"/>
      <c r="B327" s="337"/>
      <c r="C327" s="2" t="s">
        <v>65</v>
      </c>
      <c r="D327" s="2">
        <v>6</v>
      </c>
      <c r="E327" s="2">
        <f>270*D327</f>
        <v>1620</v>
      </c>
      <c r="F327" s="2">
        <f>220*D327</f>
        <v>1320</v>
      </c>
      <c r="G327" s="2">
        <f>60*D327</f>
        <v>360</v>
      </c>
      <c r="H327" s="2">
        <v>0</v>
      </c>
      <c r="I327" s="2">
        <f>56*D327</f>
        <v>336</v>
      </c>
      <c r="J327" s="6">
        <v>0</v>
      </c>
      <c r="K327" s="2">
        <v>0</v>
      </c>
      <c r="L327" s="2">
        <f>40*D327*30</f>
        <v>7200</v>
      </c>
      <c r="M327" s="2">
        <f>3*30*D327</f>
        <v>540</v>
      </c>
      <c r="N327" s="2"/>
    </row>
    <row r="328" spans="1:14" ht="12.75">
      <c r="A328" s="352"/>
      <c r="B328" s="337"/>
      <c r="C328" s="2" t="s">
        <v>70</v>
      </c>
      <c r="D328" s="2">
        <v>9</v>
      </c>
      <c r="E328" s="2">
        <f>270*D328</f>
        <v>2430</v>
      </c>
      <c r="F328" s="2">
        <f>220*D328</f>
        <v>1980</v>
      </c>
      <c r="G328" s="2">
        <f>75*D328</f>
        <v>675</v>
      </c>
      <c r="H328" s="2">
        <v>0</v>
      </c>
      <c r="I328" s="2">
        <f>60*D328</f>
        <v>540</v>
      </c>
      <c r="J328" s="6">
        <v>0</v>
      </c>
      <c r="K328" s="2">
        <v>0</v>
      </c>
      <c r="L328" s="2">
        <f>40*D328*30</f>
        <v>10800</v>
      </c>
      <c r="M328" s="2">
        <f>3*30*D328</f>
        <v>810</v>
      </c>
      <c r="N328" s="2"/>
    </row>
    <row r="329" spans="1:14" ht="12.75">
      <c r="A329" s="352"/>
      <c r="B329" s="337"/>
      <c r="C329" s="2" t="s">
        <v>28</v>
      </c>
      <c r="D329" s="2">
        <v>3</v>
      </c>
      <c r="E329" s="2">
        <f>255*D329</f>
        <v>765</v>
      </c>
      <c r="F329" s="2">
        <f>210*D329</f>
        <v>630</v>
      </c>
      <c r="G329" s="2">
        <f>60*D329</f>
        <v>180</v>
      </c>
      <c r="H329" s="2">
        <v>0</v>
      </c>
      <c r="I329" s="2">
        <v>0</v>
      </c>
      <c r="J329" s="6">
        <v>0</v>
      </c>
      <c r="K329" s="2">
        <v>0</v>
      </c>
      <c r="L329" s="2">
        <f>40*D329*30</f>
        <v>3600</v>
      </c>
      <c r="M329" s="2">
        <f>140*D329</f>
        <v>420</v>
      </c>
      <c r="N329" s="2"/>
    </row>
    <row r="330" spans="1:15" ht="12.75">
      <c r="A330" s="352"/>
      <c r="B330" s="332" t="s">
        <v>72</v>
      </c>
      <c r="C330" s="333"/>
      <c r="D330" s="4">
        <f>SUM(D314:D329)</f>
        <v>156</v>
      </c>
      <c r="E330" s="4">
        <f aca="true" t="shared" si="53" ref="E330:M330">SUM(E314:E329)</f>
        <v>62891</v>
      </c>
      <c r="F330" s="4">
        <f t="shared" si="53"/>
        <v>58178</v>
      </c>
      <c r="G330" s="4">
        <f t="shared" si="53"/>
        <v>10487</v>
      </c>
      <c r="H330" s="4">
        <f t="shared" si="53"/>
        <v>582</v>
      </c>
      <c r="I330" s="4">
        <f t="shared" si="53"/>
        <v>1806</v>
      </c>
      <c r="J330" s="6">
        <f t="shared" si="53"/>
        <v>0</v>
      </c>
      <c r="K330" s="4">
        <f t="shared" si="53"/>
        <v>1700</v>
      </c>
      <c r="L330" s="4">
        <f t="shared" si="53"/>
        <v>364680</v>
      </c>
      <c r="M330" s="4">
        <f t="shared" si="53"/>
        <v>19145</v>
      </c>
      <c r="N330" s="4">
        <f>10*40+150*2+5*10*14+M330</f>
        <v>20545</v>
      </c>
      <c r="O330" s="12"/>
    </row>
    <row r="331" spans="1:14" ht="12.75">
      <c r="A331" s="352"/>
      <c r="B331" s="337">
        <v>9</v>
      </c>
      <c r="C331" s="2" t="s">
        <v>29</v>
      </c>
      <c r="D331" s="2">
        <v>24</v>
      </c>
      <c r="E331" s="3">
        <f>20*D331*30</f>
        <v>14400</v>
      </c>
      <c r="F331" s="2">
        <f>15*D331*30</f>
        <v>10800</v>
      </c>
      <c r="G331" s="2">
        <f>2*D331*30</f>
        <v>1440</v>
      </c>
      <c r="H331" s="3">
        <v>0</v>
      </c>
      <c r="I331" s="2">
        <v>0</v>
      </c>
      <c r="J331" s="6">
        <v>0</v>
      </c>
      <c r="K331" s="3">
        <v>0</v>
      </c>
      <c r="L331" s="2">
        <f>100*D331*30</f>
        <v>72000</v>
      </c>
      <c r="M331" s="3">
        <f>140*D331</f>
        <v>3360</v>
      </c>
      <c r="N331" s="2"/>
    </row>
    <row r="332" spans="1:14" ht="12.75">
      <c r="A332" s="352"/>
      <c r="B332" s="337"/>
      <c r="C332" s="2" t="s">
        <v>36</v>
      </c>
      <c r="D332" s="2">
        <v>64</v>
      </c>
      <c r="E332" s="2">
        <f>15*D332*30</f>
        <v>28800</v>
      </c>
      <c r="F332" s="2">
        <f>20*D332*30</f>
        <v>38400</v>
      </c>
      <c r="G332" s="2">
        <f>2*D332*30</f>
        <v>3840</v>
      </c>
      <c r="H332" s="2">
        <v>0</v>
      </c>
      <c r="I332" s="2">
        <v>0</v>
      </c>
      <c r="J332" s="6">
        <v>0</v>
      </c>
      <c r="K332" s="2">
        <v>0</v>
      </c>
      <c r="L332" s="2">
        <f>100*D332*30</f>
        <v>192000</v>
      </c>
      <c r="M332" s="3">
        <f>140*D332</f>
        <v>8960</v>
      </c>
      <c r="N332" s="2"/>
    </row>
    <row r="333" spans="1:14" ht="12.75">
      <c r="A333" s="352"/>
      <c r="B333" s="337"/>
      <c r="C333" s="2" t="s">
        <v>51</v>
      </c>
      <c r="D333" s="2">
        <v>20</v>
      </c>
      <c r="E333" s="2">
        <f>20*D333*30</f>
        <v>12000</v>
      </c>
      <c r="F333" s="2">
        <f>5*D333*30</f>
        <v>3000</v>
      </c>
      <c r="G333" s="2">
        <f>4*D333*30</f>
        <v>2400</v>
      </c>
      <c r="H333" s="2">
        <v>0</v>
      </c>
      <c r="I333" s="2">
        <v>0</v>
      </c>
      <c r="J333" s="6">
        <v>0</v>
      </c>
      <c r="K333" s="2">
        <v>0</v>
      </c>
      <c r="L333" s="2">
        <f>100*D333*30</f>
        <v>60000</v>
      </c>
      <c r="M333" s="3">
        <f>140*D333</f>
        <v>2800</v>
      </c>
      <c r="N333" s="2"/>
    </row>
    <row r="334" spans="1:14" ht="12.75">
      <c r="A334" s="352"/>
      <c r="B334" s="337"/>
      <c r="C334" s="2" t="s">
        <v>30</v>
      </c>
      <c r="D334" s="2">
        <v>10</v>
      </c>
      <c r="E334" s="3">
        <f>3*D334</f>
        <v>30</v>
      </c>
      <c r="F334" s="2">
        <v>0</v>
      </c>
      <c r="G334" s="2">
        <f>6*D334</f>
        <v>60</v>
      </c>
      <c r="H334" s="2">
        <f>10*D334</f>
        <v>100</v>
      </c>
      <c r="I334" s="2">
        <v>0</v>
      </c>
      <c r="J334" s="6">
        <v>0</v>
      </c>
      <c r="K334" s="2">
        <f>170*D334</f>
        <v>1700</v>
      </c>
      <c r="L334" s="2">
        <f aca="true" t="shared" si="54" ref="L334:L339">18*D334*30</f>
        <v>5400</v>
      </c>
      <c r="M334" s="3">
        <f>60*10</f>
        <v>600</v>
      </c>
      <c r="N334" s="2"/>
    </row>
    <row r="335" spans="1:14" ht="12.75">
      <c r="A335" s="352"/>
      <c r="B335" s="337"/>
      <c r="C335" s="2" t="s">
        <v>32</v>
      </c>
      <c r="D335" s="2">
        <v>2</v>
      </c>
      <c r="E335" s="2">
        <f>14*D335</f>
        <v>28</v>
      </c>
      <c r="F335" s="2">
        <v>0</v>
      </c>
      <c r="G335" s="2">
        <f>9*D335</f>
        <v>18</v>
      </c>
      <c r="H335" s="2">
        <f>45*D335</f>
        <v>90</v>
      </c>
      <c r="I335" s="2">
        <v>0</v>
      </c>
      <c r="J335" s="6">
        <v>0</v>
      </c>
      <c r="K335" s="2">
        <f>90*D335</f>
        <v>180</v>
      </c>
      <c r="L335" s="2">
        <f t="shared" si="54"/>
        <v>1080</v>
      </c>
      <c r="M335" s="3">
        <f>75+1.5*30*D335</f>
        <v>165</v>
      </c>
      <c r="N335" s="2"/>
    </row>
    <row r="336" spans="1:14" ht="12.75">
      <c r="A336" s="352"/>
      <c r="B336" s="337"/>
      <c r="C336" s="2" t="s">
        <v>34</v>
      </c>
      <c r="D336" s="2">
        <v>0</v>
      </c>
      <c r="E336" s="2">
        <f>15*D336</f>
        <v>0</v>
      </c>
      <c r="F336" s="2">
        <v>0</v>
      </c>
      <c r="G336" s="2">
        <f>13*D336</f>
        <v>0</v>
      </c>
      <c r="H336" s="2">
        <f>72*D336</f>
        <v>0</v>
      </c>
      <c r="I336" s="2">
        <v>0</v>
      </c>
      <c r="J336" s="6">
        <v>0</v>
      </c>
      <c r="K336" s="2">
        <v>0</v>
      </c>
      <c r="L336" s="2">
        <f t="shared" si="54"/>
        <v>0</v>
      </c>
      <c r="M336" s="2">
        <f>1.5*30*D336</f>
        <v>0</v>
      </c>
      <c r="N336" s="2"/>
    </row>
    <row r="337" spans="1:14" ht="12.75">
      <c r="A337" s="352"/>
      <c r="B337" s="337"/>
      <c r="C337" s="2" t="s">
        <v>37</v>
      </c>
      <c r="D337" s="2">
        <v>0</v>
      </c>
      <c r="E337" s="2">
        <f>21*D337</f>
        <v>0</v>
      </c>
      <c r="F337" s="3">
        <v>0</v>
      </c>
      <c r="G337" s="2">
        <f>21*D337</f>
        <v>0</v>
      </c>
      <c r="H337" s="2">
        <f>80*D337</f>
        <v>0</v>
      </c>
      <c r="I337" s="3">
        <v>0</v>
      </c>
      <c r="J337" s="6">
        <v>0</v>
      </c>
      <c r="K337" s="3">
        <v>0</v>
      </c>
      <c r="L337" s="2">
        <f t="shared" si="54"/>
        <v>0</v>
      </c>
      <c r="M337" s="2">
        <v>0</v>
      </c>
      <c r="N337" s="2"/>
    </row>
    <row r="338" spans="1:14" ht="12.75">
      <c r="A338" s="352"/>
      <c r="B338" s="337"/>
      <c r="C338" s="2" t="s">
        <v>39</v>
      </c>
      <c r="D338" s="2">
        <v>2</v>
      </c>
      <c r="E338" s="2">
        <f>24*D338</f>
        <v>48</v>
      </c>
      <c r="F338" s="2">
        <f>20*D338</f>
        <v>40</v>
      </c>
      <c r="G338" s="2">
        <f>25*D338</f>
        <v>50</v>
      </c>
      <c r="H338" s="2">
        <f>83*D338</f>
        <v>166</v>
      </c>
      <c r="I338" s="2">
        <v>0</v>
      </c>
      <c r="J338" s="6">
        <v>0</v>
      </c>
      <c r="K338" s="2">
        <v>0</v>
      </c>
      <c r="L338" s="2">
        <f t="shared" si="54"/>
        <v>1080</v>
      </c>
      <c r="M338" s="2">
        <f>1.5*30*D338</f>
        <v>90</v>
      </c>
      <c r="N338" s="2"/>
    </row>
    <row r="339" spans="1:14" ht="12.75">
      <c r="A339" s="352"/>
      <c r="B339" s="337"/>
      <c r="C339" s="2" t="s">
        <v>42</v>
      </c>
      <c r="D339" s="2">
        <v>2</v>
      </c>
      <c r="E339" s="2">
        <f>58*D339</f>
        <v>116</v>
      </c>
      <c r="F339" s="2">
        <f>44*D339</f>
        <v>88</v>
      </c>
      <c r="G339" s="2">
        <f>135*D339</f>
        <v>270</v>
      </c>
      <c r="H339" s="2">
        <f>78*D339</f>
        <v>156</v>
      </c>
      <c r="I339" s="2">
        <v>0</v>
      </c>
      <c r="J339" s="6">
        <v>0</v>
      </c>
      <c r="K339" s="2">
        <v>0</v>
      </c>
      <c r="L339" s="2">
        <f t="shared" si="54"/>
        <v>1080</v>
      </c>
      <c r="M339" s="2">
        <f>1.5*30*D339</f>
        <v>90</v>
      </c>
      <c r="N339" s="2"/>
    </row>
    <row r="340" spans="1:14" ht="12.75">
      <c r="A340" s="352"/>
      <c r="B340" s="337"/>
      <c r="C340" s="2" t="s">
        <v>48</v>
      </c>
      <c r="D340" s="2">
        <v>6</v>
      </c>
      <c r="E340" s="2">
        <f>165*D340</f>
        <v>990</v>
      </c>
      <c r="F340" s="2">
        <f>105*D340</f>
        <v>630</v>
      </c>
      <c r="G340" s="2">
        <f>45*D340</f>
        <v>270</v>
      </c>
      <c r="H340" s="2">
        <v>0</v>
      </c>
      <c r="I340" s="2">
        <f>75*D340</f>
        <v>450</v>
      </c>
      <c r="J340" s="6">
        <v>0</v>
      </c>
      <c r="K340" s="2">
        <v>0</v>
      </c>
      <c r="L340" s="2">
        <f>24*D340*30</f>
        <v>4320</v>
      </c>
      <c r="M340" s="2">
        <f>3*30*D340</f>
        <v>540</v>
      </c>
      <c r="N340" s="2"/>
    </row>
    <row r="341" spans="1:14" ht="12.75">
      <c r="A341" s="352"/>
      <c r="B341" s="337"/>
      <c r="C341" s="2" t="s">
        <v>52</v>
      </c>
      <c r="D341" s="2">
        <v>6</v>
      </c>
      <c r="E341" s="2">
        <f>195*D341</f>
        <v>1170</v>
      </c>
      <c r="F341" s="2">
        <f>150*D341</f>
        <v>900</v>
      </c>
      <c r="G341" s="2">
        <f>135*D341</f>
        <v>810</v>
      </c>
      <c r="H341" s="2">
        <v>0</v>
      </c>
      <c r="I341" s="2">
        <f>60*D341</f>
        <v>360</v>
      </c>
      <c r="J341" s="6">
        <v>0</v>
      </c>
      <c r="K341" s="2">
        <v>0</v>
      </c>
      <c r="L341" s="2">
        <f>24*D341*30</f>
        <v>4320</v>
      </c>
      <c r="M341" s="2">
        <f>3*30*D341</f>
        <v>540</v>
      </c>
      <c r="N341" s="2"/>
    </row>
    <row r="342" spans="1:14" ht="12.75">
      <c r="A342" s="352"/>
      <c r="B342" s="337"/>
      <c r="C342" s="2" t="s">
        <v>55</v>
      </c>
      <c r="D342" s="2">
        <v>4</v>
      </c>
      <c r="E342" s="2">
        <f>240*D342</f>
        <v>960</v>
      </c>
      <c r="F342" s="2">
        <f>195*D342</f>
        <v>780</v>
      </c>
      <c r="G342" s="2">
        <f>45*D342</f>
        <v>180</v>
      </c>
      <c r="H342" s="2">
        <v>0</v>
      </c>
      <c r="I342" s="2">
        <f>60*D342</f>
        <v>240</v>
      </c>
      <c r="J342" s="6">
        <v>0</v>
      </c>
      <c r="K342" s="2">
        <v>0</v>
      </c>
      <c r="L342" s="2">
        <f>30*D342*30</f>
        <v>3600</v>
      </c>
      <c r="M342" s="2">
        <f>3*30*D342</f>
        <v>360</v>
      </c>
      <c r="N342" s="2"/>
    </row>
    <row r="343" spans="1:14" ht="12.75">
      <c r="A343" s="352"/>
      <c r="B343" s="337"/>
      <c r="C343" s="2" t="s">
        <v>59</v>
      </c>
      <c r="D343" s="2">
        <v>0</v>
      </c>
      <c r="E343" s="2">
        <f>255*D343</f>
        <v>0</v>
      </c>
      <c r="F343" s="2">
        <f>210*D343</f>
        <v>0</v>
      </c>
      <c r="G343" s="2">
        <f>60*D343</f>
        <v>0</v>
      </c>
      <c r="H343" s="2">
        <v>0</v>
      </c>
      <c r="I343" s="2">
        <f>51*D343</f>
        <v>0</v>
      </c>
      <c r="J343" s="6">
        <v>0</v>
      </c>
      <c r="K343" s="2">
        <v>0</v>
      </c>
      <c r="L343" s="2">
        <f>35*D343*30</f>
        <v>0</v>
      </c>
      <c r="M343" s="2">
        <f>120*D343</f>
        <v>0</v>
      </c>
      <c r="N343" s="2"/>
    </row>
    <row r="344" spans="1:14" ht="12.75">
      <c r="A344" s="352"/>
      <c r="B344" s="337"/>
      <c r="C344" s="2" t="s">
        <v>65</v>
      </c>
      <c r="D344" s="2">
        <v>3</v>
      </c>
      <c r="E344" s="2">
        <f>270*D344</f>
        <v>810</v>
      </c>
      <c r="F344" s="2">
        <f>220*D344</f>
        <v>660</v>
      </c>
      <c r="G344" s="2">
        <f>60*D344</f>
        <v>180</v>
      </c>
      <c r="H344" s="2">
        <v>0</v>
      </c>
      <c r="I344" s="2">
        <f>56*D344</f>
        <v>168</v>
      </c>
      <c r="J344" s="6">
        <v>0</v>
      </c>
      <c r="K344" s="2">
        <v>0</v>
      </c>
      <c r="L344" s="2">
        <f>40*D344*30</f>
        <v>3600</v>
      </c>
      <c r="M344" s="2">
        <f>3*30*D344</f>
        <v>270</v>
      </c>
      <c r="N344" s="2"/>
    </row>
    <row r="345" spans="1:14" ht="12.75">
      <c r="A345" s="352"/>
      <c r="B345" s="337"/>
      <c r="C345" s="2" t="s">
        <v>70</v>
      </c>
      <c r="D345" s="2">
        <v>9</v>
      </c>
      <c r="E345" s="2">
        <f>270*D345</f>
        <v>2430</v>
      </c>
      <c r="F345" s="2">
        <f>220*D345</f>
        <v>1980</v>
      </c>
      <c r="G345" s="2">
        <f>75*D345</f>
        <v>675</v>
      </c>
      <c r="H345" s="2">
        <v>0</v>
      </c>
      <c r="I345" s="2">
        <f>60*D345</f>
        <v>540</v>
      </c>
      <c r="J345" s="6">
        <v>0</v>
      </c>
      <c r="K345" s="2">
        <v>0</v>
      </c>
      <c r="L345" s="2">
        <f>40*D345*30</f>
        <v>10800</v>
      </c>
      <c r="M345" s="2">
        <f>3*30*D345</f>
        <v>810</v>
      </c>
      <c r="N345" s="2"/>
    </row>
    <row r="346" spans="1:14" ht="12.75">
      <c r="A346" s="352"/>
      <c r="B346" s="337"/>
      <c r="C346" s="2" t="s">
        <v>83</v>
      </c>
      <c r="D346" s="2">
        <v>6</v>
      </c>
      <c r="E346" s="2">
        <f>255*D346</f>
        <v>1530</v>
      </c>
      <c r="F346" s="2">
        <f>210*D346</f>
        <v>1260</v>
      </c>
      <c r="G346" s="2">
        <f>60*D346</f>
        <v>360</v>
      </c>
      <c r="H346" s="2">
        <v>0</v>
      </c>
      <c r="I346" s="2">
        <v>0</v>
      </c>
      <c r="J346" s="6">
        <v>0</v>
      </c>
      <c r="K346" s="2">
        <v>0</v>
      </c>
      <c r="L346" s="2">
        <f>40*D346*30</f>
        <v>7200</v>
      </c>
      <c r="M346" s="2">
        <f>140*D346</f>
        <v>840</v>
      </c>
      <c r="N346" s="2"/>
    </row>
    <row r="347" spans="1:15" ht="12.75">
      <c r="A347" s="352"/>
      <c r="B347" s="332" t="s">
        <v>73</v>
      </c>
      <c r="C347" s="333"/>
      <c r="D347" s="4">
        <f aca="true" t="shared" si="55" ref="D347:M347">SUM(D331:D346)</f>
        <v>158</v>
      </c>
      <c r="E347" s="4">
        <f t="shared" si="55"/>
        <v>63312</v>
      </c>
      <c r="F347" s="4">
        <f t="shared" si="55"/>
        <v>58538</v>
      </c>
      <c r="G347" s="4">
        <f t="shared" si="55"/>
        <v>10553</v>
      </c>
      <c r="H347" s="4">
        <f t="shared" si="55"/>
        <v>512</v>
      </c>
      <c r="I347" s="4">
        <f t="shared" si="55"/>
        <v>1758</v>
      </c>
      <c r="J347" s="6">
        <f t="shared" si="55"/>
        <v>0</v>
      </c>
      <c r="K347" s="4">
        <f t="shared" si="55"/>
        <v>1880</v>
      </c>
      <c r="L347" s="4">
        <f t="shared" si="55"/>
        <v>366480</v>
      </c>
      <c r="M347" s="4">
        <f t="shared" si="55"/>
        <v>19425</v>
      </c>
      <c r="N347" s="4">
        <f>10*40+150*2+5*10*14+M347</f>
        <v>20825</v>
      </c>
      <c r="O347" s="12"/>
    </row>
    <row r="348" spans="1:14" ht="12.75">
      <c r="A348" s="352"/>
      <c r="B348" s="337">
        <v>10</v>
      </c>
      <c r="C348" s="2" t="s">
        <v>29</v>
      </c>
      <c r="D348" s="2">
        <v>28</v>
      </c>
      <c r="E348" s="3">
        <f>20*D348*30</f>
        <v>16800</v>
      </c>
      <c r="F348" s="2">
        <f>15*D348*30</f>
        <v>12600</v>
      </c>
      <c r="G348" s="2">
        <f>2*D348*30</f>
        <v>1680</v>
      </c>
      <c r="H348" s="3">
        <v>0</v>
      </c>
      <c r="I348" s="2">
        <v>0</v>
      </c>
      <c r="J348" s="6">
        <v>0</v>
      </c>
      <c r="K348" s="3">
        <v>0</v>
      </c>
      <c r="L348" s="2">
        <f>100*D348*30</f>
        <v>84000</v>
      </c>
      <c r="M348" s="3">
        <f>140*D348</f>
        <v>3920</v>
      </c>
      <c r="N348" s="2"/>
    </row>
    <row r="349" spans="1:14" ht="12.75">
      <c r="A349" s="352"/>
      <c r="B349" s="337"/>
      <c r="C349" s="2" t="s">
        <v>36</v>
      </c>
      <c r="D349" s="2">
        <v>63</v>
      </c>
      <c r="E349" s="2">
        <f>15*D349*30</f>
        <v>28350</v>
      </c>
      <c r="F349" s="2">
        <f>20*D349*30</f>
        <v>37800</v>
      </c>
      <c r="G349" s="2">
        <f>2*D349*30</f>
        <v>3780</v>
      </c>
      <c r="H349" s="2">
        <v>0</v>
      </c>
      <c r="I349" s="2">
        <v>0</v>
      </c>
      <c r="J349" s="6">
        <v>0</v>
      </c>
      <c r="K349" s="2">
        <v>0</v>
      </c>
      <c r="L349" s="2">
        <f>100*D349*30</f>
        <v>189000</v>
      </c>
      <c r="M349" s="3">
        <f>140*D349</f>
        <v>8820</v>
      </c>
      <c r="N349" s="2"/>
    </row>
    <row r="350" spans="1:14" ht="12.75">
      <c r="A350" s="352"/>
      <c r="B350" s="337"/>
      <c r="C350" s="2" t="s">
        <v>51</v>
      </c>
      <c r="D350" s="2">
        <v>20</v>
      </c>
      <c r="E350" s="2">
        <f>20*D350*30</f>
        <v>12000</v>
      </c>
      <c r="F350" s="2">
        <f>5*D350*30</f>
        <v>3000</v>
      </c>
      <c r="G350" s="2">
        <f>4*D350*30</f>
        <v>2400</v>
      </c>
      <c r="H350" s="2">
        <v>0</v>
      </c>
      <c r="I350" s="2">
        <v>0</v>
      </c>
      <c r="J350" s="6">
        <v>0</v>
      </c>
      <c r="K350" s="2">
        <v>0</v>
      </c>
      <c r="L350" s="2">
        <f>100*D350*30</f>
        <v>60000</v>
      </c>
      <c r="M350" s="3">
        <f>140*D350</f>
        <v>2800</v>
      </c>
      <c r="N350" s="2"/>
    </row>
    <row r="351" spans="1:14" ht="12.75">
      <c r="A351" s="352"/>
      <c r="B351" s="337"/>
      <c r="C351" s="2" t="s">
        <v>30</v>
      </c>
      <c r="D351" s="2">
        <v>13</v>
      </c>
      <c r="E351" s="3">
        <f>3*D351</f>
        <v>39</v>
      </c>
      <c r="F351" s="2">
        <v>0</v>
      </c>
      <c r="G351" s="2">
        <f>6*D351</f>
        <v>78</v>
      </c>
      <c r="H351" s="2">
        <f>10*D351</f>
        <v>130</v>
      </c>
      <c r="I351" s="2">
        <v>0</v>
      </c>
      <c r="J351" s="6">
        <v>0</v>
      </c>
      <c r="K351" s="2">
        <f>170*D351</f>
        <v>2210</v>
      </c>
      <c r="L351" s="2">
        <f aca="true" t="shared" si="56" ref="L351:L356">18*D351*30</f>
        <v>7020</v>
      </c>
      <c r="M351" s="3">
        <f>60*13</f>
        <v>780</v>
      </c>
      <c r="N351" s="2"/>
    </row>
    <row r="352" spans="1:14" ht="12.75">
      <c r="A352" s="352"/>
      <c r="B352" s="337"/>
      <c r="C352" s="2" t="s">
        <v>32</v>
      </c>
      <c r="D352" s="2">
        <v>2</v>
      </c>
      <c r="E352" s="2">
        <f>14*D352</f>
        <v>28</v>
      </c>
      <c r="F352" s="2">
        <v>0</v>
      </c>
      <c r="G352" s="2">
        <f>9*D352</f>
        <v>18</v>
      </c>
      <c r="H352" s="2">
        <f>45*D352</f>
        <v>90</v>
      </c>
      <c r="I352" s="2">
        <v>0</v>
      </c>
      <c r="J352" s="6">
        <v>0</v>
      </c>
      <c r="K352" s="2">
        <f>90*D352</f>
        <v>180</v>
      </c>
      <c r="L352" s="2">
        <f t="shared" si="56"/>
        <v>1080</v>
      </c>
      <c r="M352" s="3">
        <f>75+1.5*30*D352</f>
        <v>165</v>
      </c>
      <c r="N352" s="2"/>
    </row>
    <row r="353" spans="1:14" ht="12.75">
      <c r="A353" s="352"/>
      <c r="B353" s="337"/>
      <c r="C353" s="2" t="s">
        <v>34</v>
      </c>
      <c r="D353" s="2">
        <v>2</v>
      </c>
      <c r="E353" s="2">
        <f>15*D353</f>
        <v>30</v>
      </c>
      <c r="F353" s="2">
        <v>0</v>
      </c>
      <c r="G353" s="2">
        <f>13*D353</f>
        <v>26</v>
      </c>
      <c r="H353" s="2">
        <f>72*D353</f>
        <v>144</v>
      </c>
      <c r="I353" s="2">
        <v>0</v>
      </c>
      <c r="J353" s="6">
        <v>0</v>
      </c>
      <c r="K353" s="2">
        <v>0</v>
      </c>
      <c r="L353" s="2">
        <f t="shared" si="56"/>
        <v>1080</v>
      </c>
      <c r="M353" s="2">
        <f>100+1.5*30*D353</f>
        <v>190</v>
      </c>
      <c r="N353" s="2"/>
    </row>
    <row r="354" spans="1:14" ht="12.75">
      <c r="A354" s="352"/>
      <c r="B354" s="337"/>
      <c r="C354" s="2" t="s">
        <v>37</v>
      </c>
      <c r="D354" s="2">
        <v>0</v>
      </c>
      <c r="E354" s="2">
        <f>21*D354</f>
        <v>0</v>
      </c>
      <c r="F354" s="3">
        <v>0</v>
      </c>
      <c r="G354" s="2">
        <f>21*D354</f>
        <v>0</v>
      </c>
      <c r="H354" s="2">
        <f>80*D354</f>
        <v>0</v>
      </c>
      <c r="I354" s="3">
        <v>0</v>
      </c>
      <c r="J354" s="6">
        <v>0</v>
      </c>
      <c r="K354" s="3">
        <v>0</v>
      </c>
      <c r="L354" s="2">
        <f t="shared" si="56"/>
        <v>0</v>
      </c>
      <c r="M354" s="2">
        <v>0</v>
      </c>
      <c r="N354" s="2"/>
    </row>
    <row r="355" spans="1:14" ht="12.75">
      <c r="A355" s="352"/>
      <c r="B355" s="337"/>
      <c r="C355" s="2" t="s">
        <v>39</v>
      </c>
      <c r="D355" s="2">
        <v>0</v>
      </c>
      <c r="E355" s="2">
        <f>24*D355</f>
        <v>0</v>
      </c>
      <c r="F355" s="2">
        <f>20*D355</f>
        <v>0</v>
      </c>
      <c r="G355" s="2">
        <f>25*D355</f>
        <v>0</v>
      </c>
      <c r="H355" s="2">
        <f>83*D355</f>
        <v>0</v>
      </c>
      <c r="I355" s="2">
        <v>0</v>
      </c>
      <c r="J355" s="6">
        <v>0</v>
      </c>
      <c r="K355" s="2">
        <v>0</v>
      </c>
      <c r="L355" s="2">
        <f t="shared" si="56"/>
        <v>0</v>
      </c>
      <c r="M355" s="2">
        <v>0</v>
      </c>
      <c r="N355" s="2"/>
    </row>
    <row r="356" spans="1:14" ht="12.75">
      <c r="A356" s="352"/>
      <c r="B356" s="337"/>
      <c r="C356" s="2" t="s">
        <v>42</v>
      </c>
      <c r="D356" s="2">
        <v>2</v>
      </c>
      <c r="E356" s="2">
        <f>58*D356</f>
        <v>116</v>
      </c>
      <c r="F356" s="2">
        <f>44*D356</f>
        <v>88</v>
      </c>
      <c r="G356" s="2">
        <f>135*D356</f>
        <v>270</v>
      </c>
      <c r="H356" s="2">
        <f>78*D356</f>
        <v>156</v>
      </c>
      <c r="I356" s="2">
        <v>0</v>
      </c>
      <c r="J356" s="6">
        <v>0</v>
      </c>
      <c r="K356" s="2">
        <v>0</v>
      </c>
      <c r="L356" s="2">
        <f t="shared" si="56"/>
        <v>1080</v>
      </c>
      <c r="M356" s="2">
        <f>1.5*30*D356</f>
        <v>90</v>
      </c>
      <c r="N356" s="2"/>
    </row>
    <row r="357" spans="1:14" ht="12.75">
      <c r="A357" s="352"/>
      <c r="B357" s="337"/>
      <c r="C357" s="2" t="s">
        <v>48</v>
      </c>
      <c r="D357" s="2">
        <v>6</v>
      </c>
      <c r="E357" s="2">
        <f>165*D357</f>
        <v>990</v>
      </c>
      <c r="F357" s="2">
        <f>105*D357</f>
        <v>630</v>
      </c>
      <c r="G357" s="2">
        <f>45*D357</f>
        <v>270</v>
      </c>
      <c r="H357" s="2">
        <v>0</v>
      </c>
      <c r="I357" s="2">
        <f>75*D357</f>
        <v>450</v>
      </c>
      <c r="J357" s="6">
        <v>0</v>
      </c>
      <c r="K357" s="2">
        <v>0</v>
      </c>
      <c r="L357" s="2">
        <f>24*D357*30</f>
        <v>4320</v>
      </c>
      <c r="M357" s="2">
        <f>3*30*D357</f>
        <v>540</v>
      </c>
      <c r="N357" s="2"/>
    </row>
    <row r="358" spans="1:14" ht="12.75">
      <c r="A358" s="352"/>
      <c r="B358" s="337"/>
      <c r="C358" s="2" t="s">
        <v>52</v>
      </c>
      <c r="D358" s="2">
        <v>6</v>
      </c>
      <c r="E358" s="2">
        <f>195*D358</f>
        <v>1170</v>
      </c>
      <c r="F358" s="2">
        <f>150*D358</f>
        <v>900</v>
      </c>
      <c r="G358" s="2">
        <f>135*D358</f>
        <v>810</v>
      </c>
      <c r="H358" s="2">
        <v>0</v>
      </c>
      <c r="I358" s="2">
        <f>60*D358</f>
        <v>360</v>
      </c>
      <c r="J358" s="6">
        <v>0</v>
      </c>
      <c r="K358" s="2">
        <v>0</v>
      </c>
      <c r="L358" s="2">
        <f>24*D358*30</f>
        <v>4320</v>
      </c>
      <c r="M358" s="2">
        <f>3*30*D358</f>
        <v>540</v>
      </c>
      <c r="N358" s="2"/>
    </row>
    <row r="359" spans="1:14" ht="12.75">
      <c r="A359" s="352"/>
      <c r="B359" s="337"/>
      <c r="C359" s="2" t="s">
        <v>55</v>
      </c>
      <c r="D359" s="2">
        <v>6</v>
      </c>
      <c r="E359" s="2">
        <f>240*D359</f>
        <v>1440</v>
      </c>
      <c r="F359" s="2">
        <f>195*D359</f>
        <v>1170</v>
      </c>
      <c r="G359" s="2">
        <f>45*D359</f>
        <v>270</v>
      </c>
      <c r="H359" s="2">
        <v>0</v>
      </c>
      <c r="I359" s="2">
        <f>60*D359</f>
        <v>360</v>
      </c>
      <c r="J359" s="6">
        <v>0</v>
      </c>
      <c r="K359" s="2">
        <v>0</v>
      </c>
      <c r="L359" s="2">
        <f>30*D359*30</f>
        <v>5400</v>
      </c>
      <c r="M359" s="2">
        <f>3*30*D359</f>
        <v>540</v>
      </c>
      <c r="N359" s="2"/>
    </row>
    <row r="360" spans="1:14" ht="12.75">
      <c r="A360" s="352"/>
      <c r="B360" s="337"/>
      <c r="C360" s="2" t="s">
        <v>59</v>
      </c>
      <c r="D360" s="2">
        <v>0</v>
      </c>
      <c r="E360" s="2">
        <f>255*D360</f>
        <v>0</v>
      </c>
      <c r="F360" s="2">
        <f>210*D360</f>
        <v>0</v>
      </c>
      <c r="G360" s="2">
        <f>60*D360</f>
        <v>0</v>
      </c>
      <c r="H360" s="2">
        <v>0</v>
      </c>
      <c r="I360" s="2">
        <f>51*D360</f>
        <v>0</v>
      </c>
      <c r="J360" s="6">
        <v>0</v>
      </c>
      <c r="K360" s="2">
        <v>0</v>
      </c>
      <c r="L360" s="2">
        <f>35*D360*30</f>
        <v>0</v>
      </c>
      <c r="M360" s="2">
        <f>120*D360</f>
        <v>0</v>
      </c>
      <c r="N360" s="2"/>
    </row>
    <row r="361" spans="1:14" ht="12.75">
      <c r="A361" s="352"/>
      <c r="B361" s="337"/>
      <c r="C361" s="2" t="s">
        <v>65</v>
      </c>
      <c r="D361" s="2">
        <v>0</v>
      </c>
      <c r="E361" s="2">
        <f>270*D361</f>
        <v>0</v>
      </c>
      <c r="F361" s="2">
        <f>220*D361</f>
        <v>0</v>
      </c>
      <c r="G361" s="2">
        <f>60*D361</f>
        <v>0</v>
      </c>
      <c r="H361" s="2">
        <v>0</v>
      </c>
      <c r="I361" s="2">
        <f>56*D361</f>
        <v>0</v>
      </c>
      <c r="J361" s="6">
        <v>0</v>
      </c>
      <c r="K361" s="2">
        <v>0</v>
      </c>
      <c r="L361" s="2">
        <f>40*D361*30</f>
        <v>0</v>
      </c>
      <c r="M361" s="2">
        <f>120*D361</f>
        <v>0</v>
      </c>
      <c r="N361" s="2"/>
    </row>
    <row r="362" spans="1:14" ht="12.75">
      <c r="A362" s="352"/>
      <c r="B362" s="337"/>
      <c r="C362" s="2" t="s">
        <v>70</v>
      </c>
      <c r="D362" s="2">
        <v>9</v>
      </c>
      <c r="E362" s="2">
        <f>270*D362</f>
        <v>2430</v>
      </c>
      <c r="F362" s="2">
        <f>220*D362</f>
        <v>1980</v>
      </c>
      <c r="G362" s="2">
        <f>75*D362</f>
        <v>675</v>
      </c>
      <c r="H362" s="2">
        <v>0</v>
      </c>
      <c r="I362" s="2">
        <f>60*D362</f>
        <v>540</v>
      </c>
      <c r="J362" s="6">
        <v>0</v>
      </c>
      <c r="K362" s="2">
        <v>0</v>
      </c>
      <c r="L362" s="2">
        <f>40*D362*30</f>
        <v>10800</v>
      </c>
      <c r="M362" s="2">
        <f>3*30*D362</f>
        <v>810</v>
      </c>
      <c r="N362" s="2"/>
    </row>
    <row r="363" spans="1:14" ht="12.75">
      <c r="A363" s="352"/>
      <c r="B363" s="337"/>
      <c r="C363" s="2" t="s">
        <v>83</v>
      </c>
      <c r="D363" s="2">
        <v>6</v>
      </c>
      <c r="E363" s="2">
        <f>255*D363</f>
        <v>1530</v>
      </c>
      <c r="F363" s="2">
        <f>210*D363</f>
        <v>1260</v>
      </c>
      <c r="G363" s="2">
        <f>60*D363</f>
        <v>360</v>
      </c>
      <c r="H363" s="2">
        <v>0</v>
      </c>
      <c r="I363" s="2">
        <v>0</v>
      </c>
      <c r="J363" s="6">
        <v>0</v>
      </c>
      <c r="K363" s="2">
        <v>0</v>
      </c>
      <c r="L363" s="2">
        <f>40*D363*30</f>
        <v>7200</v>
      </c>
      <c r="M363" s="2">
        <f>140*D363</f>
        <v>840</v>
      </c>
      <c r="N363" s="2"/>
    </row>
    <row r="364" spans="1:15" ht="12.75">
      <c r="A364" s="352"/>
      <c r="B364" s="332" t="s">
        <v>74</v>
      </c>
      <c r="C364" s="333"/>
      <c r="D364" s="4">
        <f>SUM(D348:D363)</f>
        <v>163</v>
      </c>
      <c r="E364" s="4">
        <f aca="true" t="shared" si="57" ref="E364:M364">SUM(E348:E363)</f>
        <v>64923</v>
      </c>
      <c r="F364" s="4">
        <f t="shared" si="57"/>
        <v>59428</v>
      </c>
      <c r="G364" s="4">
        <f t="shared" si="57"/>
        <v>10637</v>
      </c>
      <c r="H364" s="4">
        <f t="shared" si="57"/>
        <v>520</v>
      </c>
      <c r="I364" s="4">
        <f t="shared" si="57"/>
        <v>1710</v>
      </c>
      <c r="J364" s="6">
        <f t="shared" si="57"/>
        <v>0</v>
      </c>
      <c r="K364" s="4">
        <f t="shared" si="57"/>
        <v>2390</v>
      </c>
      <c r="L364" s="4">
        <f t="shared" si="57"/>
        <v>375300</v>
      </c>
      <c r="M364" s="4">
        <f t="shared" si="57"/>
        <v>20035</v>
      </c>
      <c r="N364" s="4">
        <f>40*13+150*2+5*13*14+M364</f>
        <v>21765</v>
      </c>
      <c r="O364" s="12"/>
    </row>
    <row r="365" spans="1:14" ht="12.75">
      <c r="A365" s="352"/>
      <c r="B365" s="337">
        <v>11</v>
      </c>
      <c r="C365" s="2" t="s">
        <v>29</v>
      </c>
      <c r="D365" s="2">
        <v>28</v>
      </c>
      <c r="E365" s="3">
        <f>20*D365*30</f>
        <v>16800</v>
      </c>
      <c r="F365" s="2">
        <f>15*D365*30</f>
        <v>12600</v>
      </c>
      <c r="G365" s="2">
        <f>2*D365*30</f>
        <v>1680</v>
      </c>
      <c r="H365" s="3">
        <v>0</v>
      </c>
      <c r="I365" s="2">
        <v>0</v>
      </c>
      <c r="J365" s="6">
        <v>0</v>
      </c>
      <c r="K365" s="3">
        <v>0</v>
      </c>
      <c r="L365" s="2">
        <f>100*D365*30</f>
        <v>84000</v>
      </c>
      <c r="M365" s="3">
        <f>140*D365</f>
        <v>3920</v>
      </c>
      <c r="N365" s="2"/>
    </row>
    <row r="366" spans="1:14" ht="12.75">
      <c r="A366" s="352"/>
      <c r="B366" s="337"/>
      <c r="C366" s="2" t="s">
        <v>36</v>
      </c>
      <c r="D366" s="2">
        <v>66</v>
      </c>
      <c r="E366" s="2">
        <f>15*D366*30</f>
        <v>29700</v>
      </c>
      <c r="F366" s="2">
        <f>20*D366*30</f>
        <v>39600</v>
      </c>
      <c r="G366" s="2">
        <f>2*D366*30</f>
        <v>3960</v>
      </c>
      <c r="H366" s="2">
        <v>0</v>
      </c>
      <c r="I366" s="2">
        <v>0</v>
      </c>
      <c r="J366" s="6">
        <v>0</v>
      </c>
      <c r="K366" s="2">
        <v>0</v>
      </c>
      <c r="L366" s="2">
        <f>100*D366*30</f>
        <v>198000</v>
      </c>
      <c r="M366" s="3">
        <f>140*D366</f>
        <v>9240</v>
      </c>
      <c r="N366" s="2"/>
    </row>
    <row r="367" spans="1:14" ht="12.75">
      <c r="A367" s="352"/>
      <c r="B367" s="337"/>
      <c r="C367" s="2" t="s">
        <v>51</v>
      </c>
      <c r="D367" s="2">
        <v>20</v>
      </c>
      <c r="E367" s="2">
        <f>20*D367*30</f>
        <v>12000</v>
      </c>
      <c r="F367" s="2">
        <f>5*D367*30</f>
        <v>3000</v>
      </c>
      <c r="G367" s="2">
        <f>4*D367*30</f>
        <v>2400</v>
      </c>
      <c r="H367" s="2">
        <v>0</v>
      </c>
      <c r="I367" s="2">
        <v>0</v>
      </c>
      <c r="J367" s="6">
        <v>0</v>
      </c>
      <c r="K367" s="2">
        <v>0</v>
      </c>
      <c r="L367" s="2">
        <f>100*D367*30</f>
        <v>60000</v>
      </c>
      <c r="M367" s="3">
        <f>140*D367</f>
        <v>2800</v>
      </c>
      <c r="N367" s="2"/>
    </row>
    <row r="368" spans="1:14" ht="12.75">
      <c r="A368" s="352"/>
      <c r="B368" s="337"/>
      <c r="C368" s="2" t="s">
        <v>30</v>
      </c>
      <c r="D368" s="2">
        <v>13</v>
      </c>
      <c r="E368" s="3">
        <f>3*D368</f>
        <v>39</v>
      </c>
      <c r="F368" s="2">
        <v>0</v>
      </c>
      <c r="G368" s="2">
        <f>6*D368</f>
        <v>78</v>
      </c>
      <c r="H368" s="2">
        <f>10*D368</f>
        <v>130</v>
      </c>
      <c r="I368" s="2">
        <v>0</v>
      </c>
      <c r="J368" s="6">
        <v>0</v>
      </c>
      <c r="K368" s="2">
        <f>170*D368</f>
        <v>2210</v>
      </c>
      <c r="L368" s="2">
        <f aca="true" t="shared" si="58" ref="L368:L373">18*D368*30</f>
        <v>7020</v>
      </c>
      <c r="M368" s="3">
        <f>60*D368</f>
        <v>780</v>
      </c>
      <c r="N368" s="2"/>
    </row>
    <row r="369" spans="1:14" ht="12.75">
      <c r="A369" s="352"/>
      <c r="B369" s="337"/>
      <c r="C369" s="2" t="s">
        <v>32</v>
      </c>
      <c r="D369" s="2">
        <v>2</v>
      </c>
      <c r="E369" s="2">
        <f>14*D369</f>
        <v>28</v>
      </c>
      <c r="F369" s="2">
        <v>0</v>
      </c>
      <c r="G369" s="2">
        <f>9*D369</f>
        <v>18</v>
      </c>
      <c r="H369" s="2">
        <f>45*D369</f>
        <v>90</v>
      </c>
      <c r="I369" s="2">
        <v>0</v>
      </c>
      <c r="J369" s="6">
        <v>0</v>
      </c>
      <c r="K369" s="2">
        <f>90*D369</f>
        <v>180</v>
      </c>
      <c r="L369" s="2">
        <f t="shared" si="58"/>
        <v>1080</v>
      </c>
      <c r="M369" s="3">
        <f>75+1.5*30*D369</f>
        <v>165</v>
      </c>
      <c r="N369" s="2"/>
    </row>
    <row r="370" spans="1:14" ht="12.75">
      <c r="A370" s="352"/>
      <c r="B370" s="337"/>
      <c r="C370" s="2" t="s">
        <v>34</v>
      </c>
      <c r="D370" s="2">
        <v>2</v>
      </c>
      <c r="E370" s="2">
        <f>15*D370</f>
        <v>30</v>
      </c>
      <c r="F370" s="2">
        <v>0</v>
      </c>
      <c r="G370" s="2">
        <f>13*D370</f>
        <v>26</v>
      </c>
      <c r="H370" s="2">
        <f>72*D370</f>
        <v>144</v>
      </c>
      <c r="I370" s="2">
        <v>0</v>
      </c>
      <c r="J370" s="6">
        <v>0</v>
      </c>
      <c r="K370" s="2">
        <v>0</v>
      </c>
      <c r="L370" s="2">
        <f t="shared" si="58"/>
        <v>1080</v>
      </c>
      <c r="M370" s="2">
        <f>1.5*30*D370</f>
        <v>90</v>
      </c>
      <c r="N370" s="2"/>
    </row>
    <row r="371" spans="1:14" ht="12.75">
      <c r="A371" s="352"/>
      <c r="B371" s="337"/>
      <c r="C371" s="2" t="s">
        <v>37</v>
      </c>
      <c r="D371" s="2">
        <v>2</v>
      </c>
      <c r="E371" s="2">
        <f>21*D371</f>
        <v>42</v>
      </c>
      <c r="F371" s="3">
        <v>0</v>
      </c>
      <c r="G371" s="2">
        <f>21*D371</f>
        <v>42</v>
      </c>
      <c r="H371" s="2">
        <f>80*D371</f>
        <v>160</v>
      </c>
      <c r="I371" s="3">
        <v>0</v>
      </c>
      <c r="J371" s="6">
        <v>0</v>
      </c>
      <c r="K371" s="3">
        <v>0</v>
      </c>
      <c r="L371" s="2">
        <f t="shared" si="58"/>
        <v>1080</v>
      </c>
      <c r="M371" s="2">
        <f>1.5*30*D371</f>
        <v>90</v>
      </c>
      <c r="N371" s="2"/>
    </row>
    <row r="372" spans="1:14" ht="12.75">
      <c r="A372" s="352"/>
      <c r="B372" s="337"/>
      <c r="C372" s="2" t="s">
        <v>39</v>
      </c>
      <c r="D372" s="2">
        <v>0</v>
      </c>
      <c r="E372" s="2">
        <f>24*D372</f>
        <v>0</v>
      </c>
      <c r="F372" s="2">
        <f>20*D372</f>
        <v>0</v>
      </c>
      <c r="G372" s="2">
        <f>25*D372</f>
        <v>0</v>
      </c>
      <c r="H372" s="2">
        <f>83*D372</f>
        <v>0</v>
      </c>
      <c r="I372" s="2">
        <v>0</v>
      </c>
      <c r="J372" s="6">
        <v>0</v>
      </c>
      <c r="K372" s="2">
        <v>0</v>
      </c>
      <c r="L372" s="2">
        <f t="shared" si="58"/>
        <v>0</v>
      </c>
      <c r="M372" s="2">
        <f>1.5*30*D372</f>
        <v>0</v>
      </c>
      <c r="N372" s="2"/>
    </row>
    <row r="373" spans="1:14" ht="12.75">
      <c r="A373" s="352"/>
      <c r="B373" s="337"/>
      <c r="C373" s="2" t="s">
        <v>42</v>
      </c>
      <c r="D373" s="2">
        <v>0</v>
      </c>
      <c r="E373" s="2">
        <f>58*D373</f>
        <v>0</v>
      </c>
      <c r="F373" s="2">
        <f>44*D373</f>
        <v>0</v>
      </c>
      <c r="G373" s="2">
        <f>135*D373</f>
        <v>0</v>
      </c>
      <c r="H373" s="2">
        <f>78*D373</f>
        <v>0</v>
      </c>
      <c r="I373" s="2">
        <v>0</v>
      </c>
      <c r="J373" s="6">
        <v>0</v>
      </c>
      <c r="K373" s="2">
        <v>0</v>
      </c>
      <c r="L373" s="2">
        <f t="shared" si="58"/>
        <v>0</v>
      </c>
      <c r="M373" s="2">
        <f>1.5*30*D373</f>
        <v>0</v>
      </c>
      <c r="N373" s="2"/>
    </row>
    <row r="374" spans="1:14" ht="12.75">
      <c r="A374" s="352"/>
      <c r="B374" s="337"/>
      <c r="C374" s="2" t="s">
        <v>48</v>
      </c>
      <c r="D374" s="2">
        <v>6</v>
      </c>
      <c r="E374" s="2">
        <f>165*D374</f>
        <v>990</v>
      </c>
      <c r="F374" s="2">
        <f>105*D374</f>
        <v>630</v>
      </c>
      <c r="G374" s="2">
        <f>45*D374</f>
        <v>270</v>
      </c>
      <c r="H374" s="2">
        <v>0</v>
      </c>
      <c r="I374" s="2">
        <f>75*D374</f>
        <v>450</v>
      </c>
      <c r="J374" s="6">
        <v>0</v>
      </c>
      <c r="K374" s="2">
        <v>0</v>
      </c>
      <c r="L374" s="2">
        <f>24*D374*30</f>
        <v>4320</v>
      </c>
      <c r="M374" s="2">
        <f>3*30*D374</f>
        <v>540</v>
      </c>
      <c r="N374" s="2"/>
    </row>
    <row r="375" spans="1:14" ht="12.75">
      <c r="A375" s="352"/>
      <c r="B375" s="337"/>
      <c r="C375" s="2" t="s">
        <v>52</v>
      </c>
      <c r="D375" s="2">
        <v>6</v>
      </c>
      <c r="E375" s="2">
        <f>195*D375</f>
        <v>1170</v>
      </c>
      <c r="F375" s="2">
        <f>150*D375</f>
        <v>900</v>
      </c>
      <c r="G375" s="2">
        <f>135*D375</f>
        <v>810</v>
      </c>
      <c r="H375" s="2">
        <v>0</v>
      </c>
      <c r="I375" s="2">
        <f>60*D375</f>
        <v>360</v>
      </c>
      <c r="J375" s="6">
        <v>0</v>
      </c>
      <c r="K375" s="2">
        <v>0</v>
      </c>
      <c r="L375" s="2">
        <f>24*D375*30</f>
        <v>4320</v>
      </c>
      <c r="M375" s="2">
        <f>3*30*D375</f>
        <v>540</v>
      </c>
      <c r="N375" s="2"/>
    </row>
    <row r="376" spans="1:14" ht="12.75">
      <c r="A376" s="352"/>
      <c r="B376" s="337"/>
      <c r="C376" s="2" t="s">
        <v>55</v>
      </c>
      <c r="D376" s="2">
        <v>6</v>
      </c>
      <c r="E376" s="2">
        <f>240*D376</f>
        <v>1440</v>
      </c>
      <c r="F376" s="2">
        <f>195*D376</f>
        <v>1170</v>
      </c>
      <c r="G376" s="2">
        <f>45*D376</f>
        <v>270</v>
      </c>
      <c r="H376" s="2">
        <v>0</v>
      </c>
      <c r="I376" s="2">
        <f>60*D376</f>
        <v>360</v>
      </c>
      <c r="J376" s="6">
        <v>0</v>
      </c>
      <c r="K376" s="2">
        <v>0</v>
      </c>
      <c r="L376" s="2">
        <f>30*D376*30</f>
        <v>5400</v>
      </c>
      <c r="M376" s="2">
        <f>3*30*D376</f>
        <v>540</v>
      </c>
      <c r="N376" s="2"/>
    </row>
    <row r="377" spans="1:14" ht="12.75">
      <c r="A377" s="352"/>
      <c r="B377" s="337"/>
      <c r="C377" s="2" t="s">
        <v>59</v>
      </c>
      <c r="D377" s="2">
        <v>2</v>
      </c>
      <c r="E377" s="2">
        <f>255*D377</f>
        <v>510</v>
      </c>
      <c r="F377" s="2">
        <f>210*D377</f>
        <v>420</v>
      </c>
      <c r="G377" s="2">
        <f>60*D377</f>
        <v>120</v>
      </c>
      <c r="H377" s="2">
        <v>0</v>
      </c>
      <c r="I377" s="2">
        <f>51*D377</f>
        <v>102</v>
      </c>
      <c r="J377" s="6">
        <v>0</v>
      </c>
      <c r="K377" s="2">
        <v>0</v>
      </c>
      <c r="L377" s="2">
        <f>35*D377*30</f>
        <v>2100</v>
      </c>
      <c r="M377" s="2">
        <f>100+3*30*D377</f>
        <v>280</v>
      </c>
      <c r="N377" s="2"/>
    </row>
    <row r="378" spans="1:14" ht="12.75">
      <c r="A378" s="352"/>
      <c r="B378" s="337"/>
      <c r="C378" s="2" t="s">
        <v>65</v>
      </c>
      <c r="D378" s="2">
        <v>0</v>
      </c>
      <c r="E378" s="2">
        <f>270*D378</f>
        <v>0</v>
      </c>
      <c r="F378" s="2">
        <f>220*D378</f>
        <v>0</v>
      </c>
      <c r="G378" s="2">
        <f>60*D378</f>
        <v>0</v>
      </c>
      <c r="H378" s="2">
        <v>0</v>
      </c>
      <c r="I378" s="2">
        <f>56*D378</f>
        <v>0</v>
      </c>
      <c r="J378" s="6">
        <v>0</v>
      </c>
      <c r="K378" s="2">
        <v>0</v>
      </c>
      <c r="L378" s="2">
        <f>40*D378*30</f>
        <v>0</v>
      </c>
      <c r="M378" s="2">
        <f>120*D378</f>
        <v>0</v>
      </c>
      <c r="N378" s="2"/>
    </row>
    <row r="379" spans="1:14" ht="12.75">
      <c r="A379" s="352"/>
      <c r="B379" s="337"/>
      <c r="C379" s="2" t="s">
        <v>70</v>
      </c>
      <c r="D379" s="2">
        <v>6</v>
      </c>
      <c r="E379" s="2">
        <f>270*D379</f>
        <v>1620</v>
      </c>
      <c r="F379" s="2">
        <f>220*D379</f>
        <v>1320</v>
      </c>
      <c r="G379" s="2">
        <f>75*D379</f>
        <v>450</v>
      </c>
      <c r="H379" s="2">
        <v>0</v>
      </c>
      <c r="I379" s="2">
        <f>60*D379</f>
        <v>360</v>
      </c>
      <c r="J379" s="6">
        <v>0</v>
      </c>
      <c r="K379" s="2">
        <v>0</v>
      </c>
      <c r="L379" s="2">
        <f>40*D379*30</f>
        <v>7200</v>
      </c>
      <c r="M379" s="2">
        <f>3*30*D379</f>
        <v>540</v>
      </c>
      <c r="N379" s="2"/>
    </row>
    <row r="380" spans="1:14" ht="12.75">
      <c r="A380" s="352"/>
      <c r="B380" s="337"/>
      <c r="C380" s="2" t="s">
        <v>83</v>
      </c>
      <c r="D380" s="2">
        <v>6</v>
      </c>
      <c r="E380" s="2">
        <f>255*D380</f>
        <v>1530</v>
      </c>
      <c r="F380" s="2">
        <f>210*D380</f>
        <v>1260</v>
      </c>
      <c r="G380" s="2">
        <f>60*D380</f>
        <v>360</v>
      </c>
      <c r="H380" s="2">
        <v>0</v>
      </c>
      <c r="I380" s="2">
        <v>0</v>
      </c>
      <c r="J380" s="6">
        <v>0</v>
      </c>
      <c r="K380" s="2">
        <v>0</v>
      </c>
      <c r="L380" s="2">
        <f>40*D380*30</f>
        <v>7200</v>
      </c>
      <c r="M380" s="2">
        <f>140*D380</f>
        <v>840</v>
      </c>
      <c r="N380" s="2"/>
    </row>
    <row r="381" spans="1:15" ht="12.75">
      <c r="A381" s="352"/>
      <c r="B381" s="332" t="s">
        <v>75</v>
      </c>
      <c r="C381" s="333"/>
      <c r="D381" s="4">
        <f>SUM(D365:D380)</f>
        <v>165</v>
      </c>
      <c r="E381" s="4">
        <f aca="true" t="shared" si="59" ref="E381:M381">SUM(E365:E380)</f>
        <v>65899</v>
      </c>
      <c r="F381" s="4">
        <f t="shared" si="59"/>
        <v>60900</v>
      </c>
      <c r="G381" s="4">
        <f t="shared" si="59"/>
        <v>10484</v>
      </c>
      <c r="H381" s="4">
        <f t="shared" si="59"/>
        <v>524</v>
      </c>
      <c r="I381" s="4">
        <f t="shared" si="59"/>
        <v>1632</v>
      </c>
      <c r="J381" s="6">
        <f t="shared" si="59"/>
        <v>0</v>
      </c>
      <c r="K381" s="4">
        <f t="shared" si="59"/>
        <v>2390</v>
      </c>
      <c r="L381" s="4">
        <f t="shared" si="59"/>
        <v>382800</v>
      </c>
      <c r="M381" s="4">
        <f t="shared" si="59"/>
        <v>20365</v>
      </c>
      <c r="N381" s="4">
        <f>40*13+150*2+5*13*14+M381</f>
        <v>22095</v>
      </c>
      <c r="O381" s="12"/>
    </row>
    <row r="382" spans="1:14" ht="12.75">
      <c r="A382" s="352"/>
      <c r="B382" s="337">
        <v>12</v>
      </c>
      <c r="C382" s="2" t="s">
        <v>29</v>
      </c>
      <c r="D382" s="2">
        <v>32</v>
      </c>
      <c r="E382" s="3">
        <f>20*D382*30</f>
        <v>19200</v>
      </c>
      <c r="F382" s="2">
        <f>15*D382*30</f>
        <v>14400</v>
      </c>
      <c r="G382" s="2">
        <f>2*D382*30</f>
        <v>1920</v>
      </c>
      <c r="H382" s="3">
        <v>0</v>
      </c>
      <c r="I382" s="2">
        <v>0</v>
      </c>
      <c r="J382" s="6">
        <v>0</v>
      </c>
      <c r="K382" s="3">
        <v>0</v>
      </c>
      <c r="L382" s="2">
        <f>100*D382*30</f>
        <v>96000</v>
      </c>
      <c r="M382" s="3">
        <f>140*D382</f>
        <v>4480</v>
      </c>
      <c r="N382" s="2"/>
    </row>
    <row r="383" spans="1:14" ht="12.75">
      <c r="A383" s="352"/>
      <c r="B383" s="337"/>
      <c r="C383" s="2" t="s">
        <v>36</v>
      </c>
      <c r="D383" s="2">
        <v>64</v>
      </c>
      <c r="E383" s="2">
        <f>15*D383*30</f>
        <v>28800</v>
      </c>
      <c r="F383" s="2">
        <f>20*D383*30</f>
        <v>38400</v>
      </c>
      <c r="G383" s="2">
        <f>2*D383*30</f>
        <v>3840</v>
      </c>
      <c r="H383" s="2">
        <v>0</v>
      </c>
      <c r="I383" s="2">
        <v>0</v>
      </c>
      <c r="J383" s="6">
        <v>0</v>
      </c>
      <c r="K383" s="2">
        <v>0</v>
      </c>
      <c r="L383" s="2">
        <f>100*D383*30</f>
        <v>192000</v>
      </c>
      <c r="M383" s="3">
        <f>140*D383</f>
        <v>8960</v>
      </c>
      <c r="N383" s="2"/>
    </row>
    <row r="384" spans="1:14" ht="12.75">
      <c r="A384" s="352"/>
      <c r="B384" s="337"/>
      <c r="C384" s="2" t="s">
        <v>51</v>
      </c>
      <c r="D384" s="2">
        <v>20</v>
      </c>
      <c r="E384" s="2">
        <f>20*D384*30</f>
        <v>12000</v>
      </c>
      <c r="F384" s="2">
        <f>5*D384*30</f>
        <v>3000</v>
      </c>
      <c r="G384" s="2">
        <f>4*D384*30</f>
        <v>2400</v>
      </c>
      <c r="H384" s="2">
        <v>0</v>
      </c>
      <c r="I384" s="2">
        <v>0</v>
      </c>
      <c r="J384" s="6">
        <v>0</v>
      </c>
      <c r="K384" s="2">
        <v>0</v>
      </c>
      <c r="L384" s="2">
        <f>100*D384*30</f>
        <v>60000</v>
      </c>
      <c r="M384" s="3">
        <f>140*D384</f>
        <v>2800</v>
      </c>
      <c r="N384" s="2"/>
    </row>
    <row r="385" spans="1:14" ht="12.75">
      <c r="A385" s="352"/>
      <c r="B385" s="337"/>
      <c r="C385" s="2" t="s">
        <v>30</v>
      </c>
      <c r="D385" s="2">
        <v>13</v>
      </c>
      <c r="E385" s="3">
        <f>3*D385</f>
        <v>39</v>
      </c>
      <c r="F385" s="2">
        <v>0</v>
      </c>
      <c r="G385" s="2">
        <f>6*D385</f>
        <v>78</v>
      </c>
      <c r="H385" s="2">
        <f>10*D385</f>
        <v>130</v>
      </c>
      <c r="I385" s="2">
        <v>0</v>
      </c>
      <c r="J385" s="6">
        <v>0</v>
      </c>
      <c r="K385" s="2">
        <f>170*D385</f>
        <v>2210</v>
      </c>
      <c r="L385" s="2">
        <f aca="true" t="shared" si="60" ref="L385:L390">18*D385*30</f>
        <v>7020</v>
      </c>
      <c r="M385" s="3">
        <f>60*13</f>
        <v>780</v>
      </c>
      <c r="N385" s="2"/>
    </row>
    <row r="386" spans="1:14" ht="12.75">
      <c r="A386" s="352"/>
      <c r="B386" s="337"/>
      <c r="C386" s="2" t="s">
        <v>32</v>
      </c>
      <c r="D386" s="2">
        <v>2</v>
      </c>
      <c r="E386" s="2">
        <f>14*D386</f>
        <v>28</v>
      </c>
      <c r="F386" s="2">
        <v>0</v>
      </c>
      <c r="G386" s="2">
        <f>9*D386</f>
        <v>18</v>
      </c>
      <c r="H386" s="2">
        <f>45*D386</f>
        <v>90</v>
      </c>
      <c r="I386" s="2">
        <v>0</v>
      </c>
      <c r="J386" s="6">
        <v>0</v>
      </c>
      <c r="K386" s="2">
        <f>90*D386</f>
        <v>180</v>
      </c>
      <c r="L386" s="2">
        <f t="shared" si="60"/>
        <v>1080</v>
      </c>
      <c r="M386" s="3">
        <f>75+1.5*30*D386</f>
        <v>165</v>
      </c>
      <c r="N386" s="2"/>
    </row>
    <row r="387" spans="1:14" ht="12.75">
      <c r="A387" s="352"/>
      <c r="B387" s="337"/>
      <c r="C387" s="2" t="s">
        <v>34</v>
      </c>
      <c r="D387" s="2">
        <v>2</v>
      </c>
      <c r="E387" s="2">
        <f>15*D387</f>
        <v>30</v>
      </c>
      <c r="F387" s="2">
        <v>0</v>
      </c>
      <c r="G387" s="2">
        <f>13*D387</f>
        <v>26</v>
      </c>
      <c r="H387" s="2">
        <f>72*D387</f>
        <v>144</v>
      </c>
      <c r="I387" s="2">
        <v>0</v>
      </c>
      <c r="J387" s="6">
        <v>0</v>
      </c>
      <c r="K387" s="2">
        <v>0</v>
      </c>
      <c r="L387" s="2">
        <f t="shared" si="60"/>
        <v>1080</v>
      </c>
      <c r="M387" s="2">
        <f>1.5*30*D387</f>
        <v>90</v>
      </c>
      <c r="N387" s="2"/>
    </row>
    <row r="388" spans="1:14" ht="12.75">
      <c r="A388" s="352"/>
      <c r="B388" s="337"/>
      <c r="C388" s="2" t="s">
        <v>37</v>
      </c>
      <c r="D388" s="2">
        <v>2</v>
      </c>
      <c r="E388" s="2">
        <f>21*D388</f>
        <v>42</v>
      </c>
      <c r="F388" s="3">
        <v>0</v>
      </c>
      <c r="G388" s="2">
        <f>21*D388</f>
        <v>42</v>
      </c>
      <c r="H388" s="2">
        <f>80*D388</f>
        <v>160</v>
      </c>
      <c r="I388" s="3">
        <v>0</v>
      </c>
      <c r="J388" s="6">
        <v>0</v>
      </c>
      <c r="K388" s="3">
        <v>0</v>
      </c>
      <c r="L388" s="2">
        <f t="shared" si="60"/>
        <v>1080</v>
      </c>
      <c r="M388" s="2">
        <f>1.5*30*D388</f>
        <v>90</v>
      </c>
      <c r="N388" s="2"/>
    </row>
    <row r="389" spans="1:14" ht="12.75">
      <c r="A389" s="352"/>
      <c r="B389" s="337"/>
      <c r="C389" s="2" t="s">
        <v>39</v>
      </c>
      <c r="D389" s="2">
        <v>2</v>
      </c>
      <c r="E389" s="2">
        <f>24*D389</f>
        <v>48</v>
      </c>
      <c r="F389" s="2">
        <f>20*D389</f>
        <v>40</v>
      </c>
      <c r="G389" s="2">
        <f>25*D389</f>
        <v>50</v>
      </c>
      <c r="H389" s="2">
        <f>83*D389</f>
        <v>166</v>
      </c>
      <c r="I389" s="2">
        <v>0</v>
      </c>
      <c r="J389" s="6">
        <v>0</v>
      </c>
      <c r="K389" s="2">
        <v>0</v>
      </c>
      <c r="L389" s="2">
        <f t="shared" si="60"/>
        <v>1080</v>
      </c>
      <c r="M389" s="2">
        <f>100+1.5*30*D389</f>
        <v>190</v>
      </c>
      <c r="N389" s="2"/>
    </row>
    <row r="390" spans="1:14" ht="12.75">
      <c r="A390" s="352"/>
      <c r="B390" s="337"/>
      <c r="C390" s="2" t="s">
        <v>42</v>
      </c>
      <c r="D390" s="2">
        <v>0</v>
      </c>
      <c r="E390" s="2">
        <f>58*D390</f>
        <v>0</v>
      </c>
      <c r="F390" s="2">
        <f>44*D390</f>
        <v>0</v>
      </c>
      <c r="G390" s="2">
        <f>135*D390</f>
        <v>0</v>
      </c>
      <c r="H390" s="2">
        <f>78*D390</f>
        <v>0</v>
      </c>
      <c r="I390" s="2">
        <v>0</v>
      </c>
      <c r="J390" s="6">
        <v>0</v>
      </c>
      <c r="K390" s="2">
        <v>0</v>
      </c>
      <c r="L390" s="2">
        <f t="shared" si="60"/>
        <v>0</v>
      </c>
      <c r="M390" s="2">
        <f>1.5*30*D390</f>
        <v>0</v>
      </c>
      <c r="N390" s="2"/>
    </row>
    <row r="391" spans="1:14" ht="12.75">
      <c r="A391" s="352"/>
      <c r="B391" s="337"/>
      <c r="C391" s="2" t="s">
        <v>48</v>
      </c>
      <c r="D391" s="2">
        <v>4</v>
      </c>
      <c r="E391" s="2">
        <f>165*D391</f>
        <v>660</v>
      </c>
      <c r="F391" s="2">
        <f>105*D391</f>
        <v>420</v>
      </c>
      <c r="G391" s="2">
        <f>45*D391</f>
        <v>180</v>
      </c>
      <c r="H391" s="2">
        <v>0</v>
      </c>
      <c r="I391" s="2">
        <f>75*D391</f>
        <v>300</v>
      </c>
      <c r="J391" s="6">
        <v>0</v>
      </c>
      <c r="K391" s="2">
        <v>0</v>
      </c>
      <c r="L391" s="2">
        <f>24*D391*30</f>
        <v>2880</v>
      </c>
      <c r="M391" s="2">
        <f>3*30*D391</f>
        <v>360</v>
      </c>
      <c r="N391" s="2"/>
    </row>
    <row r="392" spans="1:14" ht="12.75">
      <c r="A392" s="352"/>
      <c r="B392" s="337"/>
      <c r="C392" s="2" t="s">
        <v>52</v>
      </c>
      <c r="D392" s="2">
        <v>6</v>
      </c>
      <c r="E392" s="2">
        <f>195*D392</f>
        <v>1170</v>
      </c>
      <c r="F392" s="2">
        <f>150*D392</f>
        <v>900</v>
      </c>
      <c r="G392" s="2">
        <f>135*D392</f>
        <v>810</v>
      </c>
      <c r="H392" s="2">
        <v>0</v>
      </c>
      <c r="I392" s="2">
        <f>60*D392</f>
        <v>360</v>
      </c>
      <c r="J392" s="6">
        <v>0</v>
      </c>
      <c r="K392" s="2">
        <v>0</v>
      </c>
      <c r="L392" s="2">
        <f>24*D392*30</f>
        <v>4320</v>
      </c>
      <c r="M392" s="2">
        <f>3*30*D392</f>
        <v>540</v>
      </c>
      <c r="N392" s="2"/>
    </row>
    <row r="393" spans="1:14" ht="12.75">
      <c r="A393" s="352"/>
      <c r="B393" s="337"/>
      <c r="C393" s="2" t="s">
        <v>55</v>
      </c>
      <c r="D393" s="2">
        <v>6</v>
      </c>
      <c r="E393" s="2">
        <f>240*D393</f>
        <v>1440</v>
      </c>
      <c r="F393" s="2">
        <f>195*D393</f>
        <v>1170</v>
      </c>
      <c r="G393" s="2">
        <f>45*D393</f>
        <v>270</v>
      </c>
      <c r="H393" s="2">
        <v>0</v>
      </c>
      <c r="I393" s="2">
        <f>60*D393</f>
        <v>360</v>
      </c>
      <c r="J393" s="6">
        <v>0</v>
      </c>
      <c r="K393" s="2">
        <v>0</v>
      </c>
      <c r="L393" s="2">
        <f>30*D393*30</f>
        <v>5400</v>
      </c>
      <c r="M393" s="2">
        <f>3*30*D393</f>
        <v>540</v>
      </c>
      <c r="N393" s="2"/>
    </row>
    <row r="394" spans="1:14" ht="12.75">
      <c r="A394" s="352"/>
      <c r="B394" s="337"/>
      <c r="C394" s="2" t="s">
        <v>59</v>
      </c>
      <c r="D394" s="2">
        <v>4</v>
      </c>
      <c r="E394" s="2">
        <f>255*D394</f>
        <v>1020</v>
      </c>
      <c r="F394" s="2">
        <f>210*D394</f>
        <v>840</v>
      </c>
      <c r="G394" s="2">
        <f>60*D394</f>
        <v>240</v>
      </c>
      <c r="H394" s="2">
        <v>0</v>
      </c>
      <c r="I394" s="2">
        <f>51*D394</f>
        <v>204</v>
      </c>
      <c r="J394" s="6">
        <v>0</v>
      </c>
      <c r="K394" s="2">
        <v>0</v>
      </c>
      <c r="L394" s="2">
        <f>35*D394*30</f>
        <v>4200</v>
      </c>
      <c r="M394" s="2">
        <f>3*30*D394</f>
        <v>360</v>
      </c>
      <c r="N394" s="2"/>
    </row>
    <row r="395" spans="1:14" ht="12.75">
      <c r="A395" s="352"/>
      <c r="B395" s="337"/>
      <c r="C395" s="2" t="s">
        <v>65</v>
      </c>
      <c r="D395" s="2">
        <v>0</v>
      </c>
      <c r="E395" s="2">
        <f>270*D395</f>
        <v>0</v>
      </c>
      <c r="F395" s="2">
        <f>220*D395</f>
        <v>0</v>
      </c>
      <c r="G395" s="2">
        <f>60*D395</f>
        <v>0</v>
      </c>
      <c r="H395" s="2">
        <v>0</v>
      </c>
      <c r="I395" s="2">
        <f>56*D395</f>
        <v>0</v>
      </c>
      <c r="J395" s="6">
        <v>0</v>
      </c>
      <c r="K395" s="2">
        <v>0</v>
      </c>
      <c r="L395" s="2">
        <f>40*D395*30</f>
        <v>0</v>
      </c>
      <c r="M395" s="2">
        <f>120*D395</f>
        <v>0</v>
      </c>
      <c r="N395" s="2"/>
    </row>
    <row r="396" spans="1:14" ht="12.75">
      <c r="A396" s="352"/>
      <c r="B396" s="337"/>
      <c r="C396" s="2" t="s">
        <v>70</v>
      </c>
      <c r="D396" s="2">
        <v>3</v>
      </c>
      <c r="E396" s="2">
        <f>270*D396</f>
        <v>810</v>
      </c>
      <c r="F396" s="2">
        <f>220*D396</f>
        <v>660</v>
      </c>
      <c r="G396" s="2">
        <f>75*D396</f>
        <v>225</v>
      </c>
      <c r="H396" s="2">
        <v>0</v>
      </c>
      <c r="I396" s="2">
        <f>60*D396</f>
        <v>180</v>
      </c>
      <c r="J396" s="6">
        <v>0</v>
      </c>
      <c r="K396" s="2">
        <v>0</v>
      </c>
      <c r="L396" s="2">
        <f>40*D396*30</f>
        <v>3600</v>
      </c>
      <c r="M396" s="2">
        <f>3*30*D396</f>
        <v>270</v>
      </c>
      <c r="N396" s="2"/>
    </row>
    <row r="397" spans="1:14" ht="12.75">
      <c r="A397" s="352"/>
      <c r="B397" s="337"/>
      <c r="C397" s="2" t="s">
        <v>83</v>
      </c>
      <c r="D397" s="2">
        <v>6</v>
      </c>
      <c r="E397" s="2">
        <f>255*D397</f>
        <v>1530</v>
      </c>
      <c r="F397" s="2">
        <f>210*D397</f>
        <v>1260</v>
      </c>
      <c r="G397" s="2">
        <f>60*D397</f>
        <v>360</v>
      </c>
      <c r="H397" s="2">
        <v>0</v>
      </c>
      <c r="I397" s="2">
        <v>0</v>
      </c>
      <c r="J397" s="6">
        <v>0</v>
      </c>
      <c r="K397" s="2">
        <v>0</v>
      </c>
      <c r="L397" s="2">
        <f>40*D397*30</f>
        <v>7200</v>
      </c>
      <c r="M397" s="2">
        <f>140*D397</f>
        <v>840</v>
      </c>
      <c r="N397" s="2"/>
    </row>
    <row r="398" spans="1:15" ht="12.75">
      <c r="A398" s="353"/>
      <c r="B398" s="332" t="s">
        <v>76</v>
      </c>
      <c r="C398" s="333"/>
      <c r="D398" s="4">
        <f>SUM(D382:D397)</f>
        <v>166</v>
      </c>
      <c r="E398" s="4">
        <f aca="true" t="shared" si="61" ref="E398:M398">SUM(E382:E397)</f>
        <v>66817</v>
      </c>
      <c r="F398" s="4">
        <f t="shared" si="61"/>
        <v>61090</v>
      </c>
      <c r="G398" s="4">
        <f t="shared" si="61"/>
        <v>10459</v>
      </c>
      <c r="H398" s="4">
        <f t="shared" si="61"/>
        <v>690</v>
      </c>
      <c r="I398" s="4">
        <f t="shared" si="61"/>
        <v>1404</v>
      </c>
      <c r="J398" s="6">
        <f t="shared" si="61"/>
        <v>0</v>
      </c>
      <c r="K398" s="4">
        <f t="shared" si="61"/>
        <v>2390</v>
      </c>
      <c r="L398" s="4">
        <f t="shared" si="61"/>
        <v>386940</v>
      </c>
      <c r="M398" s="4">
        <f t="shared" si="61"/>
        <v>20465</v>
      </c>
      <c r="N398" s="4">
        <f>40*13+150*2+5*13*14+M398</f>
        <v>22195</v>
      </c>
      <c r="O398" s="12"/>
    </row>
    <row r="399" spans="1:15" ht="12.75">
      <c r="A399" s="325" t="s">
        <v>77</v>
      </c>
      <c r="B399" s="326"/>
      <c r="C399" s="327"/>
      <c r="D399" s="8"/>
      <c r="E399" s="8">
        <f aca="true" t="shared" si="62" ref="E399:N399">E398+E381+E364+E347+E330+E313+E297+E281+E265+E250+E235+E220</f>
        <v>768207</v>
      </c>
      <c r="F399" s="8">
        <f t="shared" si="62"/>
        <v>688100</v>
      </c>
      <c r="G399" s="8">
        <f t="shared" si="62"/>
        <v>118474</v>
      </c>
      <c r="H399" s="8">
        <f t="shared" si="62"/>
        <v>8250</v>
      </c>
      <c r="I399" s="8">
        <f t="shared" si="62"/>
        <v>18255</v>
      </c>
      <c r="J399" s="6">
        <f t="shared" si="62"/>
        <v>0</v>
      </c>
      <c r="K399" s="8">
        <f t="shared" si="62"/>
        <v>20330</v>
      </c>
      <c r="L399" s="8">
        <f t="shared" si="62"/>
        <v>4377210</v>
      </c>
      <c r="M399" s="8">
        <f t="shared" si="62"/>
        <v>228655</v>
      </c>
      <c r="N399" s="8">
        <f t="shared" si="62"/>
        <v>244745</v>
      </c>
      <c r="O399" s="12"/>
    </row>
    <row r="400" spans="1:14" ht="12.75">
      <c r="A400" s="341">
        <v>4</v>
      </c>
      <c r="B400" s="337">
        <v>1</v>
      </c>
      <c r="C400" s="2" t="s">
        <v>29</v>
      </c>
      <c r="D400" s="2">
        <v>32</v>
      </c>
      <c r="E400" s="3">
        <f>20*D400*30</f>
        <v>19200</v>
      </c>
      <c r="F400" s="2">
        <f>15*D400*30</f>
        <v>14400</v>
      </c>
      <c r="G400" s="2">
        <f>2*D400*30</f>
        <v>1920</v>
      </c>
      <c r="H400" s="3">
        <v>0</v>
      </c>
      <c r="I400" s="2">
        <v>0</v>
      </c>
      <c r="J400" s="6">
        <v>0</v>
      </c>
      <c r="K400" s="3">
        <v>0</v>
      </c>
      <c r="L400" s="2">
        <f>100*D400*30</f>
        <v>96000</v>
      </c>
      <c r="M400" s="2">
        <f>140*D400</f>
        <v>4480</v>
      </c>
      <c r="N400" s="2"/>
    </row>
    <row r="401" spans="1:14" ht="12.75">
      <c r="A401" s="342"/>
      <c r="B401" s="337"/>
      <c r="C401" s="2" t="s">
        <v>36</v>
      </c>
      <c r="D401" s="2">
        <v>64</v>
      </c>
      <c r="E401" s="2">
        <f>15*D401*30</f>
        <v>28800</v>
      </c>
      <c r="F401" s="2">
        <f>20*D401*30</f>
        <v>38400</v>
      </c>
      <c r="G401" s="2">
        <f>2*D401*30</f>
        <v>3840</v>
      </c>
      <c r="H401" s="2">
        <v>0</v>
      </c>
      <c r="I401" s="2">
        <v>0</v>
      </c>
      <c r="J401" s="6">
        <v>0</v>
      </c>
      <c r="K401" s="2">
        <v>0</v>
      </c>
      <c r="L401" s="2">
        <f>100*D401*30</f>
        <v>192000</v>
      </c>
      <c r="M401" s="2">
        <f>140*D401</f>
        <v>8960</v>
      </c>
      <c r="N401" s="2"/>
    </row>
    <row r="402" spans="1:14" ht="12.75">
      <c r="A402" s="342"/>
      <c r="B402" s="337"/>
      <c r="C402" s="2" t="s">
        <v>51</v>
      </c>
      <c r="D402" s="2">
        <v>20</v>
      </c>
      <c r="E402" s="2">
        <f>20*D402*30</f>
        <v>12000</v>
      </c>
      <c r="F402" s="2">
        <f>5*D402*30</f>
        <v>3000</v>
      </c>
      <c r="G402" s="2">
        <f>4*D402*30</f>
        <v>2400</v>
      </c>
      <c r="H402" s="2">
        <v>0</v>
      </c>
      <c r="I402" s="2">
        <v>0</v>
      </c>
      <c r="J402" s="6">
        <v>0</v>
      </c>
      <c r="K402" s="2">
        <v>0</v>
      </c>
      <c r="L402" s="2">
        <f>100*D402*30</f>
        <v>60000</v>
      </c>
      <c r="M402" s="2">
        <f>140*D402</f>
        <v>2800</v>
      </c>
      <c r="N402" s="2"/>
    </row>
    <row r="403" spans="1:14" ht="12.75">
      <c r="A403" s="342"/>
      <c r="B403" s="337"/>
      <c r="C403" s="2" t="s">
        <v>30</v>
      </c>
      <c r="D403" s="2">
        <v>13</v>
      </c>
      <c r="E403" s="3">
        <f>3*D403</f>
        <v>39</v>
      </c>
      <c r="F403" s="2">
        <v>0</v>
      </c>
      <c r="G403" s="2">
        <f>6*D403</f>
        <v>78</v>
      </c>
      <c r="H403" s="2">
        <f>10*D403</f>
        <v>130</v>
      </c>
      <c r="I403" s="2">
        <v>0</v>
      </c>
      <c r="J403" s="6">
        <v>0</v>
      </c>
      <c r="K403" s="2">
        <f>170*D403</f>
        <v>2210</v>
      </c>
      <c r="L403" s="2">
        <f aca="true" t="shared" si="63" ref="L403:L408">18*D403*30</f>
        <v>7020</v>
      </c>
      <c r="M403" s="3">
        <f>60*13</f>
        <v>780</v>
      </c>
      <c r="N403" s="2"/>
    </row>
    <row r="404" spans="1:14" ht="12.75">
      <c r="A404" s="342"/>
      <c r="B404" s="337"/>
      <c r="C404" s="2" t="s">
        <v>32</v>
      </c>
      <c r="D404" s="2">
        <v>2</v>
      </c>
      <c r="E404" s="2">
        <f>14*D404</f>
        <v>28</v>
      </c>
      <c r="F404" s="2">
        <v>0</v>
      </c>
      <c r="G404" s="2">
        <f>9*D404</f>
        <v>18</v>
      </c>
      <c r="H404" s="2">
        <f>45*D404</f>
        <v>90</v>
      </c>
      <c r="I404" s="2">
        <v>0</v>
      </c>
      <c r="J404" s="6">
        <v>0</v>
      </c>
      <c r="K404" s="2">
        <f>90*D404</f>
        <v>180</v>
      </c>
      <c r="L404" s="2">
        <f t="shared" si="63"/>
        <v>1080</v>
      </c>
      <c r="M404" s="3">
        <f>75+1.5*30*D404</f>
        <v>165</v>
      </c>
      <c r="N404" s="2"/>
    </row>
    <row r="405" spans="1:14" ht="12.75">
      <c r="A405" s="342"/>
      <c r="B405" s="337"/>
      <c r="C405" s="2" t="s">
        <v>34</v>
      </c>
      <c r="D405" s="2">
        <v>2</v>
      </c>
      <c r="E405" s="2">
        <f>15*D405</f>
        <v>30</v>
      </c>
      <c r="F405" s="2">
        <v>0</v>
      </c>
      <c r="G405" s="2">
        <f>13*D405</f>
        <v>26</v>
      </c>
      <c r="H405" s="2">
        <f>72*D405</f>
        <v>144</v>
      </c>
      <c r="I405" s="2">
        <v>0</v>
      </c>
      <c r="J405" s="6">
        <v>0</v>
      </c>
      <c r="K405" s="2">
        <v>0</v>
      </c>
      <c r="L405" s="2">
        <f t="shared" si="63"/>
        <v>1080</v>
      </c>
      <c r="M405" s="2">
        <f>1.5*30*D405</f>
        <v>90</v>
      </c>
      <c r="N405" s="2"/>
    </row>
    <row r="406" spans="1:14" ht="12.75">
      <c r="A406" s="342"/>
      <c r="B406" s="337"/>
      <c r="C406" s="2" t="s">
        <v>37</v>
      </c>
      <c r="D406" s="2">
        <v>2</v>
      </c>
      <c r="E406" s="2">
        <f>21*D406</f>
        <v>42</v>
      </c>
      <c r="F406" s="3">
        <v>0</v>
      </c>
      <c r="G406" s="2">
        <f>21*D406</f>
        <v>42</v>
      </c>
      <c r="H406" s="2">
        <f>80*D406</f>
        <v>160</v>
      </c>
      <c r="I406" s="3">
        <v>0</v>
      </c>
      <c r="J406" s="6">
        <v>0</v>
      </c>
      <c r="K406" s="3">
        <v>0</v>
      </c>
      <c r="L406" s="2">
        <f t="shared" si="63"/>
        <v>1080</v>
      </c>
      <c r="M406" s="2">
        <f>1.5*30*D406</f>
        <v>90</v>
      </c>
      <c r="N406" s="2"/>
    </row>
    <row r="407" spans="1:14" ht="12.75">
      <c r="A407" s="342"/>
      <c r="B407" s="337"/>
      <c r="C407" s="2" t="s">
        <v>39</v>
      </c>
      <c r="D407" s="2">
        <v>2</v>
      </c>
      <c r="E407" s="2">
        <f>24*D407</f>
        <v>48</v>
      </c>
      <c r="F407" s="2">
        <f>20*D407</f>
        <v>40</v>
      </c>
      <c r="G407" s="2">
        <f>25*D407</f>
        <v>50</v>
      </c>
      <c r="H407" s="2">
        <f>83*D407</f>
        <v>166</v>
      </c>
      <c r="I407" s="2">
        <v>0</v>
      </c>
      <c r="J407" s="6">
        <v>0</v>
      </c>
      <c r="K407" s="2">
        <v>0</v>
      </c>
      <c r="L407" s="2">
        <f t="shared" si="63"/>
        <v>1080</v>
      </c>
      <c r="M407" s="2">
        <f>1.5*30*D407</f>
        <v>90</v>
      </c>
      <c r="N407" s="2"/>
    </row>
    <row r="408" spans="1:14" ht="12.75">
      <c r="A408" s="342"/>
      <c r="B408" s="337"/>
      <c r="C408" s="2" t="s">
        <v>42</v>
      </c>
      <c r="D408" s="2">
        <v>2</v>
      </c>
      <c r="E408" s="2">
        <f>58*D408</f>
        <v>116</v>
      </c>
      <c r="F408" s="2">
        <f>44*D408</f>
        <v>88</v>
      </c>
      <c r="G408" s="2">
        <f>135*D408</f>
        <v>270</v>
      </c>
      <c r="H408" s="2">
        <f>78*D408</f>
        <v>156</v>
      </c>
      <c r="I408" s="2">
        <v>0</v>
      </c>
      <c r="J408" s="6">
        <v>0</v>
      </c>
      <c r="K408" s="2">
        <v>0</v>
      </c>
      <c r="L408" s="2">
        <f t="shared" si="63"/>
        <v>1080</v>
      </c>
      <c r="M408" s="2">
        <f>125+1.5*30*D408</f>
        <v>215</v>
      </c>
      <c r="N408" s="2"/>
    </row>
    <row r="409" spans="1:14" ht="12.75">
      <c r="A409" s="342"/>
      <c r="B409" s="337"/>
      <c r="C409" s="2" t="s">
        <v>48</v>
      </c>
      <c r="D409" s="2">
        <v>2</v>
      </c>
      <c r="E409" s="2">
        <f>165*D409</f>
        <v>330</v>
      </c>
      <c r="F409" s="2">
        <f>105*D409</f>
        <v>210</v>
      </c>
      <c r="G409" s="2">
        <f>45*D409</f>
        <v>90</v>
      </c>
      <c r="H409" s="2">
        <v>0</v>
      </c>
      <c r="I409" s="2">
        <f>75*D409</f>
        <v>150</v>
      </c>
      <c r="J409" s="6">
        <v>0</v>
      </c>
      <c r="K409" s="2">
        <v>0</v>
      </c>
      <c r="L409" s="2">
        <f>24*D409*30</f>
        <v>1440</v>
      </c>
      <c r="M409" s="2">
        <f>3*30*D409</f>
        <v>180</v>
      </c>
      <c r="N409" s="2"/>
    </row>
    <row r="410" spans="1:14" ht="12.75">
      <c r="A410" s="342"/>
      <c r="B410" s="337"/>
      <c r="C410" s="2" t="s">
        <v>52</v>
      </c>
      <c r="D410" s="2">
        <v>6</v>
      </c>
      <c r="E410" s="2">
        <f>195*D410</f>
        <v>1170</v>
      </c>
      <c r="F410" s="2">
        <f>150*D410</f>
        <v>900</v>
      </c>
      <c r="G410" s="2">
        <f>135*D410</f>
        <v>810</v>
      </c>
      <c r="H410" s="2">
        <v>0</v>
      </c>
      <c r="I410" s="2">
        <f>60*D410</f>
        <v>360</v>
      </c>
      <c r="J410" s="6">
        <v>0</v>
      </c>
      <c r="K410" s="2">
        <v>0</v>
      </c>
      <c r="L410" s="2">
        <f>24*D410*30</f>
        <v>4320</v>
      </c>
      <c r="M410" s="2">
        <f>3*30*D410</f>
        <v>540</v>
      </c>
      <c r="N410" s="2"/>
    </row>
    <row r="411" spans="1:14" ht="12.75">
      <c r="A411" s="342"/>
      <c r="B411" s="337"/>
      <c r="C411" s="2" t="s">
        <v>55</v>
      </c>
      <c r="D411" s="2">
        <v>6</v>
      </c>
      <c r="E411" s="2">
        <f>240*D411</f>
        <v>1440</v>
      </c>
      <c r="F411" s="2">
        <f>195*D411</f>
        <v>1170</v>
      </c>
      <c r="G411" s="2">
        <f>45*D411</f>
        <v>270</v>
      </c>
      <c r="H411" s="2">
        <v>0</v>
      </c>
      <c r="I411" s="2">
        <f>60*D411</f>
        <v>360</v>
      </c>
      <c r="J411" s="6">
        <v>0</v>
      </c>
      <c r="K411" s="2">
        <v>0</v>
      </c>
      <c r="L411" s="2">
        <f>30*D411*30</f>
        <v>5400</v>
      </c>
      <c r="M411" s="2">
        <f>3*30*D411</f>
        <v>540</v>
      </c>
      <c r="N411" s="2"/>
    </row>
    <row r="412" spans="1:14" ht="12.75">
      <c r="A412" s="342"/>
      <c r="B412" s="337"/>
      <c r="C412" s="2" t="s">
        <v>59</v>
      </c>
      <c r="D412" s="2">
        <v>6</v>
      </c>
      <c r="E412" s="2">
        <f>255*D412</f>
        <v>1530</v>
      </c>
      <c r="F412" s="2">
        <f>210*D412</f>
        <v>1260</v>
      </c>
      <c r="G412" s="2">
        <f>60*D412</f>
        <v>360</v>
      </c>
      <c r="H412" s="2">
        <v>0</v>
      </c>
      <c r="I412" s="2">
        <f>51*D412</f>
        <v>306</v>
      </c>
      <c r="J412" s="6">
        <v>0</v>
      </c>
      <c r="K412" s="2">
        <v>0</v>
      </c>
      <c r="L412" s="2">
        <f>35*D412*30</f>
        <v>6300</v>
      </c>
      <c r="M412" s="2">
        <f>3*30*D412</f>
        <v>540</v>
      </c>
      <c r="N412" s="2"/>
    </row>
    <row r="413" spans="1:14" ht="12.75">
      <c r="A413" s="342"/>
      <c r="B413" s="337"/>
      <c r="C413" s="2" t="s">
        <v>65</v>
      </c>
      <c r="D413" s="2">
        <v>0</v>
      </c>
      <c r="E413" s="2">
        <f>270*D413</f>
        <v>0</v>
      </c>
      <c r="F413" s="2">
        <f>220*D413</f>
        <v>0</v>
      </c>
      <c r="G413" s="2">
        <f>60*D413</f>
        <v>0</v>
      </c>
      <c r="H413" s="2">
        <v>0</v>
      </c>
      <c r="I413" s="2">
        <f>56*D413</f>
        <v>0</v>
      </c>
      <c r="J413" s="6">
        <v>0</v>
      </c>
      <c r="K413" s="2">
        <v>0</v>
      </c>
      <c r="L413" s="2">
        <f>40*D413*30</f>
        <v>0</v>
      </c>
      <c r="M413" s="2">
        <v>0</v>
      </c>
      <c r="N413" s="2"/>
    </row>
    <row r="414" spans="1:14" ht="12.75">
      <c r="A414" s="342"/>
      <c r="B414" s="337"/>
      <c r="C414" s="2" t="s">
        <v>70</v>
      </c>
      <c r="D414" s="2">
        <v>0</v>
      </c>
      <c r="E414" s="2">
        <f>270*D414</f>
        <v>0</v>
      </c>
      <c r="F414" s="2">
        <f>220*D414</f>
        <v>0</v>
      </c>
      <c r="G414" s="2">
        <f>75*D414</f>
        <v>0</v>
      </c>
      <c r="H414" s="2">
        <v>0</v>
      </c>
      <c r="I414" s="2">
        <f>60*D414</f>
        <v>0</v>
      </c>
      <c r="J414" s="6">
        <v>0</v>
      </c>
      <c r="K414" s="2">
        <v>0</v>
      </c>
      <c r="L414" s="2">
        <f>40*D414*30</f>
        <v>0</v>
      </c>
      <c r="M414" s="2">
        <v>0</v>
      </c>
      <c r="N414" s="2"/>
    </row>
    <row r="415" spans="1:14" ht="12.75">
      <c r="A415" s="342"/>
      <c r="B415" s="337"/>
      <c r="C415" s="2" t="s">
        <v>83</v>
      </c>
      <c r="D415" s="2">
        <v>6</v>
      </c>
      <c r="E415" s="2">
        <f>255*D415</f>
        <v>1530</v>
      </c>
      <c r="F415" s="2">
        <f>210*D415</f>
        <v>1260</v>
      </c>
      <c r="G415" s="2">
        <f>60*D415</f>
        <v>360</v>
      </c>
      <c r="H415" s="2">
        <v>0</v>
      </c>
      <c r="I415" s="2">
        <v>0</v>
      </c>
      <c r="J415" s="6">
        <v>0</v>
      </c>
      <c r="K415" s="2">
        <v>0</v>
      </c>
      <c r="L415" s="2">
        <f>40*D415*30</f>
        <v>7200</v>
      </c>
      <c r="M415" s="2">
        <f>140*D415</f>
        <v>840</v>
      </c>
      <c r="N415" s="2"/>
    </row>
    <row r="416" spans="1:15" ht="12.75">
      <c r="A416" s="342"/>
      <c r="B416" s="332" t="s">
        <v>60</v>
      </c>
      <c r="C416" s="333"/>
      <c r="D416" s="4">
        <f>SUM(D400:D415)</f>
        <v>165</v>
      </c>
      <c r="E416" s="4">
        <f aca="true" t="shared" si="64" ref="E416:M416">SUM(E400:E415)</f>
        <v>66303</v>
      </c>
      <c r="F416" s="4">
        <f t="shared" si="64"/>
        <v>60728</v>
      </c>
      <c r="G416" s="4">
        <f t="shared" si="64"/>
        <v>10534</v>
      </c>
      <c r="H416" s="4">
        <f t="shared" si="64"/>
        <v>846</v>
      </c>
      <c r="I416" s="4">
        <f t="shared" si="64"/>
        <v>1176</v>
      </c>
      <c r="J416" s="6">
        <f t="shared" si="64"/>
        <v>0</v>
      </c>
      <c r="K416" s="4">
        <f t="shared" si="64"/>
        <v>2390</v>
      </c>
      <c r="L416" s="4">
        <f t="shared" si="64"/>
        <v>385080</v>
      </c>
      <c r="M416" s="4">
        <f t="shared" si="64"/>
        <v>20310</v>
      </c>
      <c r="N416" s="4">
        <f>40*13+150*2+13*5*14+M416</f>
        <v>22040</v>
      </c>
      <c r="O416" s="12"/>
    </row>
    <row r="417" spans="1:14" ht="12.75">
      <c r="A417" s="342"/>
      <c r="B417" s="337">
        <v>2</v>
      </c>
      <c r="C417" s="2" t="s">
        <v>29</v>
      </c>
      <c r="D417" s="2">
        <v>32</v>
      </c>
      <c r="E417" s="3">
        <f>20*D417*30</f>
        <v>19200</v>
      </c>
      <c r="F417" s="2">
        <f>15*D417*30</f>
        <v>14400</v>
      </c>
      <c r="G417" s="2">
        <f>2*D417*30</f>
        <v>1920</v>
      </c>
      <c r="H417" s="3">
        <v>0</v>
      </c>
      <c r="I417" s="2">
        <v>0</v>
      </c>
      <c r="J417" s="6">
        <v>0</v>
      </c>
      <c r="K417" s="3">
        <v>0</v>
      </c>
      <c r="L417" s="2">
        <f>100*D417*30</f>
        <v>96000</v>
      </c>
      <c r="M417" s="3">
        <f>140*D417</f>
        <v>4480</v>
      </c>
      <c r="N417" s="2"/>
    </row>
    <row r="418" spans="1:14" ht="12.75">
      <c r="A418" s="342"/>
      <c r="B418" s="337"/>
      <c r="C418" s="2" t="s">
        <v>36</v>
      </c>
      <c r="D418" s="2">
        <v>64</v>
      </c>
      <c r="E418" s="2">
        <f>15*D418*30</f>
        <v>28800</v>
      </c>
      <c r="F418" s="2">
        <f>20*D418*30</f>
        <v>38400</v>
      </c>
      <c r="G418" s="2">
        <f>2*D418*30</f>
        <v>3840</v>
      </c>
      <c r="H418" s="2">
        <v>0</v>
      </c>
      <c r="I418" s="2">
        <v>0</v>
      </c>
      <c r="J418" s="6">
        <v>0</v>
      </c>
      <c r="K418" s="2">
        <v>0</v>
      </c>
      <c r="L418" s="2">
        <f>100*D418*30</f>
        <v>192000</v>
      </c>
      <c r="M418" s="3">
        <f>140*D418</f>
        <v>8960</v>
      </c>
      <c r="N418" s="2"/>
    </row>
    <row r="419" spans="1:14" ht="12.75">
      <c r="A419" s="342"/>
      <c r="B419" s="337"/>
      <c r="C419" s="2" t="s">
        <v>51</v>
      </c>
      <c r="D419" s="2">
        <v>20</v>
      </c>
      <c r="E419" s="2">
        <f>20*D419*30</f>
        <v>12000</v>
      </c>
      <c r="F419" s="2">
        <f>5*D419*30</f>
        <v>3000</v>
      </c>
      <c r="G419" s="2">
        <f>4*D419*30</f>
        <v>2400</v>
      </c>
      <c r="H419" s="2">
        <v>0</v>
      </c>
      <c r="I419" s="2">
        <v>0</v>
      </c>
      <c r="J419" s="6">
        <v>0</v>
      </c>
      <c r="K419" s="2">
        <v>0</v>
      </c>
      <c r="L419" s="2">
        <f>100*D419*30</f>
        <v>60000</v>
      </c>
      <c r="M419" s="3">
        <f>140*D419</f>
        <v>2800</v>
      </c>
      <c r="N419" s="2"/>
    </row>
    <row r="420" spans="1:14" ht="12.75">
      <c r="A420" s="342"/>
      <c r="B420" s="337"/>
      <c r="C420" s="2" t="s">
        <v>30</v>
      </c>
      <c r="D420" s="2">
        <v>13</v>
      </c>
      <c r="E420" s="3">
        <f>3*D420</f>
        <v>39</v>
      </c>
      <c r="F420" s="2">
        <v>0</v>
      </c>
      <c r="G420" s="2">
        <f>6*D420</f>
        <v>78</v>
      </c>
      <c r="H420" s="2">
        <f>10*D420</f>
        <v>130</v>
      </c>
      <c r="I420" s="2">
        <v>0</v>
      </c>
      <c r="J420" s="6">
        <v>0</v>
      </c>
      <c r="K420" s="2">
        <f>170*D420</f>
        <v>2210</v>
      </c>
      <c r="L420" s="2">
        <f aca="true" t="shared" si="65" ref="L420:L425">18*D420*30</f>
        <v>7020</v>
      </c>
      <c r="M420" s="3">
        <f>60*13</f>
        <v>780</v>
      </c>
      <c r="N420" s="2"/>
    </row>
    <row r="421" spans="1:14" ht="12.75">
      <c r="A421" s="342"/>
      <c r="B421" s="337"/>
      <c r="C421" s="2" t="s">
        <v>32</v>
      </c>
      <c r="D421" s="2">
        <v>2</v>
      </c>
      <c r="E421" s="2">
        <f>14*D421</f>
        <v>28</v>
      </c>
      <c r="F421" s="2">
        <v>0</v>
      </c>
      <c r="G421" s="2">
        <f>9*D421</f>
        <v>18</v>
      </c>
      <c r="H421" s="2">
        <f>45*D421</f>
        <v>90</v>
      </c>
      <c r="I421" s="2">
        <v>0</v>
      </c>
      <c r="J421" s="6">
        <v>0</v>
      </c>
      <c r="K421" s="2">
        <f>90*D421</f>
        <v>180</v>
      </c>
      <c r="L421" s="2">
        <f t="shared" si="65"/>
        <v>1080</v>
      </c>
      <c r="M421" s="3">
        <f>75+1.5*30*D421</f>
        <v>165</v>
      </c>
      <c r="N421" s="2"/>
    </row>
    <row r="422" spans="1:14" ht="12.75">
      <c r="A422" s="342"/>
      <c r="B422" s="337"/>
      <c r="C422" s="2" t="s">
        <v>34</v>
      </c>
      <c r="D422" s="2">
        <v>2</v>
      </c>
      <c r="E422" s="2">
        <f>15*D422</f>
        <v>30</v>
      </c>
      <c r="F422" s="2">
        <v>0</v>
      </c>
      <c r="G422" s="2">
        <f>13*D422</f>
        <v>26</v>
      </c>
      <c r="H422" s="2">
        <f>72*D422</f>
        <v>144</v>
      </c>
      <c r="I422" s="2">
        <v>0</v>
      </c>
      <c r="J422" s="6">
        <v>0</v>
      </c>
      <c r="K422" s="2">
        <v>0</v>
      </c>
      <c r="L422" s="2">
        <f t="shared" si="65"/>
        <v>1080</v>
      </c>
      <c r="M422" s="2">
        <f>1.5*30*D422</f>
        <v>90</v>
      </c>
      <c r="N422" s="2"/>
    </row>
    <row r="423" spans="1:14" ht="12.75">
      <c r="A423" s="342"/>
      <c r="B423" s="337"/>
      <c r="C423" s="2" t="s">
        <v>37</v>
      </c>
      <c r="D423" s="2">
        <v>2</v>
      </c>
      <c r="E423" s="2">
        <f>21*D423</f>
        <v>42</v>
      </c>
      <c r="F423" s="3">
        <v>0</v>
      </c>
      <c r="G423" s="2">
        <f>21*D423</f>
        <v>42</v>
      </c>
      <c r="H423" s="2">
        <f>80*D423</f>
        <v>160</v>
      </c>
      <c r="I423" s="3">
        <v>0</v>
      </c>
      <c r="J423" s="6">
        <v>0</v>
      </c>
      <c r="K423" s="3">
        <v>0</v>
      </c>
      <c r="L423" s="2">
        <f t="shared" si="65"/>
        <v>1080</v>
      </c>
      <c r="M423" s="2">
        <f>1.5*30*D423</f>
        <v>90</v>
      </c>
      <c r="N423" s="2"/>
    </row>
    <row r="424" spans="1:14" ht="12.75">
      <c r="A424" s="342"/>
      <c r="B424" s="337"/>
      <c r="C424" s="2" t="s">
        <v>39</v>
      </c>
      <c r="D424" s="2">
        <v>2</v>
      </c>
      <c r="E424" s="2">
        <f>24*D424</f>
        <v>48</v>
      </c>
      <c r="F424" s="2">
        <f>20*D424</f>
        <v>40</v>
      </c>
      <c r="G424" s="2">
        <f>25*D424</f>
        <v>50</v>
      </c>
      <c r="H424" s="2">
        <f>83*D424</f>
        <v>166</v>
      </c>
      <c r="I424" s="2">
        <v>0</v>
      </c>
      <c r="J424" s="6">
        <v>0</v>
      </c>
      <c r="K424" s="2">
        <v>0</v>
      </c>
      <c r="L424" s="2">
        <f t="shared" si="65"/>
        <v>1080</v>
      </c>
      <c r="M424" s="2">
        <f>1.5*30*D424</f>
        <v>90</v>
      </c>
      <c r="N424" s="2"/>
    </row>
    <row r="425" spans="1:14" ht="12.75">
      <c r="A425" s="342"/>
      <c r="B425" s="337"/>
      <c r="C425" s="2" t="s">
        <v>42</v>
      </c>
      <c r="D425" s="2">
        <v>2</v>
      </c>
      <c r="E425" s="2">
        <f>58*D425</f>
        <v>116</v>
      </c>
      <c r="F425" s="2">
        <f>44*D425</f>
        <v>88</v>
      </c>
      <c r="G425" s="2">
        <f>135*D425</f>
        <v>270</v>
      </c>
      <c r="H425" s="2">
        <f>78*D425</f>
        <v>156</v>
      </c>
      <c r="I425" s="2">
        <v>0</v>
      </c>
      <c r="J425" s="6">
        <v>0</v>
      </c>
      <c r="K425" s="2">
        <v>0</v>
      </c>
      <c r="L425" s="2">
        <f t="shared" si="65"/>
        <v>1080</v>
      </c>
      <c r="M425" s="2">
        <f>1.5*30*D425</f>
        <v>90</v>
      </c>
      <c r="N425" s="2"/>
    </row>
    <row r="426" spans="1:14" ht="12.75">
      <c r="A426" s="342"/>
      <c r="B426" s="337"/>
      <c r="C426" s="2" t="s">
        <v>48</v>
      </c>
      <c r="D426" s="2">
        <v>2</v>
      </c>
      <c r="E426" s="2">
        <f>165*D426</f>
        <v>330</v>
      </c>
      <c r="F426" s="2">
        <f>105*D426</f>
        <v>210</v>
      </c>
      <c r="G426" s="2">
        <f>45*D426</f>
        <v>90</v>
      </c>
      <c r="H426" s="2">
        <v>0</v>
      </c>
      <c r="I426" s="2">
        <f>75*D426</f>
        <v>150</v>
      </c>
      <c r="J426" s="6">
        <v>0</v>
      </c>
      <c r="K426" s="2">
        <v>0</v>
      </c>
      <c r="L426" s="2">
        <f>24*D426*30</f>
        <v>1440</v>
      </c>
      <c r="M426" s="2">
        <f>100+3*30*D426</f>
        <v>280</v>
      </c>
      <c r="N426" s="2"/>
    </row>
    <row r="427" spans="1:14" ht="12.75">
      <c r="A427" s="342"/>
      <c r="B427" s="337"/>
      <c r="C427" s="2" t="s">
        <v>52</v>
      </c>
      <c r="D427" s="2">
        <v>6</v>
      </c>
      <c r="E427" s="2">
        <f>195*D427</f>
        <v>1170</v>
      </c>
      <c r="F427" s="2">
        <f>150*D427</f>
        <v>900</v>
      </c>
      <c r="G427" s="2">
        <f>135*D427</f>
        <v>810</v>
      </c>
      <c r="H427" s="2">
        <v>0</v>
      </c>
      <c r="I427" s="2">
        <f>60*D427</f>
        <v>360</v>
      </c>
      <c r="J427" s="6">
        <v>0</v>
      </c>
      <c r="K427" s="2">
        <v>0</v>
      </c>
      <c r="L427" s="2">
        <f>24*D427*30</f>
        <v>4320</v>
      </c>
      <c r="M427" s="2">
        <f>3*30*D427</f>
        <v>540</v>
      </c>
      <c r="N427" s="2"/>
    </row>
    <row r="428" spans="1:14" ht="12.75">
      <c r="A428" s="342"/>
      <c r="B428" s="337"/>
      <c r="C428" s="2" t="s">
        <v>55</v>
      </c>
      <c r="D428" s="2">
        <v>6</v>
      </c>
      <c r="E428" s="2">
        <f>240*D428</f>
        <v>1440</v>
      </c>
      <c r="F428" s="2">
        <f>195*D428</f>
        <v>1170</v>
      </c>
      <c r="G428" s="2">
        <f>45*D428</f>
        <v>270</v>
      </c>
      <c r="H428" s="2">
        <v>0</v>
      </c>
      <c r="I428" s="2">
        <f>60*D428</f>
        <v>360</v>
      </c>
      <c r="J428" s="6">
        <v>0</v>
      </c>
      <c r="K428" s="2">
        <v>0</v>
      </c>
      <c r="L428" s="2">
        <f>30*D428*30</f>
        <v>5400</v>
      </c>
      <c r="M428" s="2">
        <f>3*30*D428</f>
        <v>540</v>
      </c>
      <c r="N428" s="2"/>
    </row>
    <row r="429" spans="1:14" ht="12.75">
      <c r="A429" s="342"/>
      <c r="B429" s="337"/>
      <c r="C429" s="2" t="s">
        <v>59</v>
      </c>
      <c r="D429" s="2">
        <v>6</v>
      </c>
      <c r="E429" s="2">
        <f>255*D429</f>
        <v>1530</v>
      </c>
      <c r="F429" s="2">
        <f>210*D429</f>
        <v>1260</v>
      </c>
      <c r="G429" s="2">
        <f>60*D429</f>
        <v>360</v>
      </c>
      <c r="H429" s="2">
        <v>0</v>
      </c>
      <c r="I429" s="2">
        <f>51*D429</f>
        <v>306</v>
      </c>
      <c r="J429" s="6">
        <v>0</v>
      </c>
      <c r="K429" s="2">
        <v>0</v>
      </c>
      <c r="L429" s="2">
        <f>35*D429*30</f>
        <v>6300</v>
      </c>
      <c r="M429" s="2">
        <f>3*30*D429</f>
        <v>540</v>
      </c>
      <c r="N429" s="2"/>
    </row>
    <row r="430" spans="1:14" ht="12.75">
      <c r="A430" s="342"/>
      <c r="B430" s="337"/>
      <c r="C430" s="2" t="s">
        <v>65</v>
      </c>
      <c r="D430" s="2">
        <v>2</v>
      </c>
      <c r="E430" s="2">
        <f>270*D430</f>
        <v>540</v>
      </c>
      <c r="F430" s="2">
        <f>220*D430</f>
        <v>440</v>
      </c>
      <c r="G430" s="2">
        <f>60*D430</f>
        <v>120</v>
      </c>
      <c r="H430" s="2">
        <v>0</v>
      </c>
      <c r="I430" s="2">
        <f>56*D430</f>
        <v>112</v>
      </c>
      <c r="J430" s="6">
        <v>0</v>
      </c>
      <c r="K430" s="2">
        <v>0</v>
      </c>
      <c r="L430" s="2">
        <f>40*D430*30</f>
        <v>2400</v>
      </c>
      <c r="M430" s="2">
        <f>3*30*D430</f>
        <v>180</v>
      </c>
      <c r="N430" s="2"/>
    </row>
    <row r="431" spans="1:14" ht="12.75">
      <c r="A431" s="342"/>
      <c r="B431" s="337"/>
      <c r="C431" s="2" t="s">
        <v>70</v>
      </c>
      <c r="D431" s="2">
        <v>0</v>
      </c>
      <c r="E431" s="2">
        <f>270*D431</f>
        <v>0</v>
      </c>
      <c r="F431" s="2">
        <f>220*D431</f>
        <v>0</v>
      </c>
      <c r="G431" s="2">
        <f>75*D431</f>
        <v>0</v>
      </c>
      <c r="H431" s="2">
        <v>0</v>
      </c>
      <c r="I431" s="2">
        <f>60*D431</f>
        <v>0</v>
      </c>
      <c r="J431" s="6">
        <v>0</v>
      </c>
      <c r="K431" s="2">
        <v>0</v>
      </c>
      <c r="L431" s="2">
        <f>40*D431*30</f>
        <v>0</v>
      </c>
      <c r="M431" s="2">
        <v>0</v>
      </c>
      <c r="N431" s="2"/>
    </row>
    <row r="432" spans="1:14" ht="12.75">
      <c r="A432" s="342"/>
      <c r="B432" s="337"/>
      <c r="C432" s="2" t="s">
        <v>83</v>
      </c>
      <c r="D432" s="2">
        <v>3</v>
      </c>
      <c r="E432" s="2">
        <f>255*D432</f>
        <v>765</v>
      </c>
      <c r="F432" s="2">
        <f>210*D432</f>
        <v>630</v>
      </c>
      <c r="G432" s="2">
        <f>60*D432</f>
        <v>180</v>
      </c>
      <c r="H432" s="2">
        <v>0</v>
      </c>
      <c r="I432" s="2">
        <v>0</v>
      </c>
      <c r="J432" s="6">
        <v>0</v>
      </c>
      <c r="K432" s="2">
        <v>0</v>
      </c>
      <c r="L432" s="2">
        <f>40*D432*30</f>
        <v>3600</v>
      </c>
      <c r="M432" s="2">
        <f>140*D432</f>
        <v>420</v>
      </c>
      <c r="N432" s="2"/>
    </row>
    <row r="433" spans="1:15" ht="12.75">
      <c r="A433" s="342"/>
      <c r="B433" s="332" t="s">
        <v>62</v>
      </c>
      <c r="C433" s="333"/>
      <c r="D433" s="4">
        <f>SUM(D417:D432)</f>
        <v>164</v>
      </c>
      <c r="E433" s="4">
        <f aca="true" t="shared" si="66" ref="E433:M433">SUM(E417:E432)</f>
        <v>66078</v>
      </c>
      <c r="F433" s="4">
        <f t="shared" si="66"/>
        <v>60538</v>
      </c>
      <c r="G433" s="4">
        <f t="shared" si="66"/>
        <v>10474</v>
      </c>
      <c r="H433" s="4">
        <f t="shared" si="66"/>
        <v>846</v>
      </c>
      <c r="I433" s="4">
        <f t="shared" si="66"/>
        <v>1288</v>
      </c>
      <c r="J433" s="6">
        <f t="shared" si="66"/>
        <v>0</v>
      </c>
      <c r="K433" s="4">
        <f t="shared" si="66"/>
        <v>2390</v>
      </c>
      <c r="L433" s="4">
        <f t="shared" si="66"/>
        <v>383880</v>
      </c>
      <c r="M433" s="4">
        <f t="shared" si="66"/>
        <v>20045</v>
      </c>
      <c r="N433" s="4">
        <f>40*13+150*2+5*13*14+M433</f>
        <v>21775</v>
      </c>
      <c r="O433" s="12"/>
    </row>
    <row r="434" spans="1:14" ht="12.75">
      <c r="A434" s="342"/>
      <c r="B434" s="337">
        <v>3</v>
      </c>
      <c r="C434" s="2" t="s">
        <v>29</v>
      </c>
      <c r="D434" s="2">
        <v>32</v>
      </c>
      <c r="E434" s="3">
        <f>20*D434*30</f>
        <v>19200</v>
      </c>
      <c r="F434" s="2">
        <f>15*D434*30</f>
        <v>14400</v>
      </c>
      <c r="G434" s="2">
        <f>2*D434*30</f>
        <v>1920</v>
      </c>
      <c r="H434" s="3">
        <v>0</v>
      </c>
      <c r="I434" s="2">
        <v>0</v>
      </c>
      <c r="J434" s="6">
        <v>0</v>
      </c>
      <c r="K434" s="3">
        <v>0</v>
      </c>
      <c r="L434" s="2">
        <f>100*D434*30</f>
        <v>96000</v>
      </c>
      <c r="M434" s="3">
        <f>140*D434</f>
        <v>4480</v>
      </c>
      <c r="N434" s="2"/>
    </row>
    <row r="435" spans="1:14" ht="12.75">
      <c r="A435" s="342"/>
      <c r="B435" s="337"/>
      <c r="C435" s="2" t="s">
        <v>36</v>
      </c>
      <c r="D435" s="2">
        <v>64</v>
      </c>
      <c r="E435" s="2">
        <f>15*D435*30</f>
        <v>28800</v>
      </c>
      <c r="F435" s="2">
        <f>20*D435*30</f>
        <v>38400</v>
      </c>
      <c r="G435" s="2">
        <f>2*D435*30</f>
        <v>3840</v>
      </c>
      <c r="H435" s="2">
        <v>0</v>
      </c>
      <c r="I435" s="2">
        <v>0</v>
      </c>
      <c r="J435" s="6">
        <v>0</v>
      </c>
      <c r="K435" s="2">
        <v>0</v>
      </c>
      <c r="L435" s="2">
        <f>100*D435*30</f>
        <v>192000</v>
      </c>
      <c r="M435" s="3">
        <f>140*D435</f>
        <v>8960</v>
      </c>
      <c r="N435" s="2"/>
    </row>
    <row r="436" spans="1:14" ht="12.75">
      <c r="A436" s="342"/>
      <c r="B436" s="337"/>
      <c r="C436" s="2" t="s">
        <v>51</v>
      </c>
      <c r="D436" s="2">
        <v>20</v>
      </c>
      <c r="E436" s="2">
        <f>20*D436*30</f>
        <v>12000</v>
      </c>
      <c r="F436" s="2">
        <f>5*D436*30</f>
        <v>3000</v>
      </c>
      <c r="G436" s="2">
        <f>4*D436*30</f>
        <v>2400</v>
      </c>
      <c r="H436" s="2">
        <v>0</v>
      </c>
      <c r="I436" s="2">
        <v>0</v>
      </c>
      <c r="J436" s="6">
        <v>0</v>
      </c>
      <c r="K436" s="2">
        <v>0</v>
      </c>
      <c r="L436" s="2">
        <f>100*D436*30</f>
        <v>60000</v>
      </c>
      <c r="M436" s="3">
        <f>140*D436</f>
        <v>2800</v>
      </c>
      <c r="N436" s="2"/>
    </row>
    <row r="437" spans="1:14" ht="12.75">
      <c r="A437" s="342"/>
      <c r="B437" s="337"/>
      <c r="C437" s="2" t="s">
        <v>30</v>
      </c>
      <c r="D437" s="2">
        <v>13</v>
      </c>
      <c r="E437" s="3">
        <f>3*D437</f>
        <v>39</v>
      </c>
      <c r="F437" s="2">
        <v>0</v>
      </c>
      <c r="G437" s="2">
        <f>6*D437</f>
        <v>78</v>
      </c>
      <c r="H437" s="2">
        <f>10*D437</f>
        <v>130</v>
      </c>
      <c r="I437" s="2">
        <v>0</v>
      </c>
      <c r="J437" s="6">
        <v>0</v>
      </c>
      <c r="K437" s="2">
        <f>170*D437</f>
        <v>2210</v>
      </c>
      <c r="L437" s="2">
        <f aca="true" t="shared" si="67" ref="L437:L442">18*D437*30</f>
        <v>7020</v>
      </c>
      <c r="M437" s="3">
        <f>60*13</f>
        <v>780</v>
      </c>
      <c r="N437" s="2"/>
    </row>
    <row r="438" spans="1:14" ht="12.75">
      <c r="A438" s="342"/>
      <c r="B438" s="337"/>
      <c r="C438" s="2" t="s">
        <v>32</v>
      </c>
      <c r="D438" s="2">
        <v>2</v>
      </c>
      <c r="E438" s="2">
        <f>14*D438</f>
        <v>28</v>
      </c>
      <c r="F438" s="2">
        <v>0</v>
      </c>
      <c r="G438" s="2">
        <f>9*D438</f>
        <v>18</v>
      </c>
      <c r="H438" s="2">
        <f>45*D438</f>
        <v>90</v>
      </c>
      <c r="I438" s="2">
        <v>0</v>
      </c>
      <c r="J438" s="6">
        <v>0</v>
      </c>
      <c r="K438" s="2">
        <f>90*D438</f>
        <v>180</v>
      </c>
      <c r="L438" s="2">
        <f t="shared" si="67"/>
        <v>1080</v>
      </c>
      <c r="M438" s="3">
        <f>75+1.5*30*D438</f>
        <v>165</v>
      </c>
      <c r="N438" s="2"/>
    </row>
    <row r="439" spans="1:14" ht="12.75">
      <c r="A439" s="342"/>
      <c r="B439" s="337"/>
      <c r="C439" s="2" t="s">
        <v>34</v>
      </c>
      <c r="D439" s="2">
        <v>2</v>
      </c>
      <c r="E439" s="2">
        <f>15*D439</f>
        <v>30</v>
      </c>
      <c r="F439" s="2">
        <v>0</v>
      </c>
      <c r="G439" s="2">
        <f>13*D439</f>
        <v>26</v>
      </c>
      <c r="H439" s="2">
        <f>72*D439</f>
        <v>144</v>
      </c>
      <c r="I439" s="2">
        <v>0</v>
      </c>
      <c r="J439" s="6">
        <v>0</v>
      </c>
      <c r="K439" s="2">
        <v>0</v>
      </c>
      <c r="L439" s="2">
        <f t="shared" si="67"/>
        <v>1080</v>
      </c>
      <c r="M439" s="2">
        <f>1.5*30*D439</f>
        <v>90</v>
      </c>
      <c r="N439" s="2"/>
    </row>
    <row r="440" spans="1:14" ht="12.75">
      <c r="A440" s="342"/>
      <c r="B440" s="337"/>
      <c r="C440" s="2" t="s">
        <v>37</v>
      </c>
      <c r="D440" s="2">
        <v>2</v>
      </c>
      <c r="E440" s="2">
        <f>21*D440</f>
        <v>42</v>
      </c>
      <c r="F440" s="3">
        <v>0</v>
      </c>
      <c r="G440" s="2">
        <f>21*D440</f>
        <v>42</v>
      </c>
      <c r="H440" s="2">
        <f>80*D440</f>
        <v>160</v>
      </c>
      <c r="I440" s="3">
        <v>0</v>
      </c>
      <c r="J440" s="6">
        <v>0</v>
      </c>
      <c r="K440" s="3">
        <v>0</v>
      </c>
      <c r="L440" s="2">
        <f t="shared" si="67"/>
        <v>1080</v>
      </c>
      <c r="M440" s="2">
        <f>1.5*30*D440</f>
        <v>90</v>
      </c>
      <c r="N440" s="2"/>
    </row>
    <row r="441" spans="1:14" ht="12.75">
      <c r="A441" s="342"/>
      <c r="B441" s="337"/>
      <c r="C441" s="2" t="s">
        <v>39</v>
      </c>
      <c r="D441" s="2">
        <v>2</v>
      </c>
      <c r="E441" s="2">
        <f>24*D441</f>
        <v>48</v>
      </c>
      <c r="F441" s="2">
        <f>20*D441</f>
        <v>40</v>
      </c>
      <c r="G441" s="2">
        <f>25*D441</f>
        <v>50</v>
      </c>
      <c r="H441" s="2">
        <f>83*D441</f>
        <v>166</v>
      </c>
      <c r="I441" s="2">
        <v>0</v>
      </c>
      <c r="J441" s="6">
        <v>0</v>
      </c>
      <c r="K441" s="2">
        <v>0</v>
      </c>
      <c r="L441" s="2">
        <f t="shared" si="67"/>
        <v>1080</v>
      </c>
      <c r="M441" s="2">
        <f>1.5*30*D441</f>
        <v>90</v>
      </c>
      <c r="N441" s="2"/>
    </row>
    <row r="442" spans="1:14" ht="12.75">
      <c r="A442" s="342"/>
      <c r="B442" s="337"/>
      <c r="C442" s="2" t="s">
        <v>42</v>
      </c>
      <c r="D442" s="2">
        <v>2</v>
      </c>
      <c r="E442" s="2">
        <f>58*D442</f>
        <v>116</v>
      </c>
      <c r="F442" s="2">
        <f>44*D442</f>
        <v>88</v>
      </c>
      <c r="G442" s="2">
        <f>135*D442</f>
        <v>270</v>
      </c>
      <c r="H442" s="2">
        <f>78*D442</f>
        <v>156</v>
      </c>
      <c r="I442" s="2">
        <v>0</v>
      </c>
      <c r="J442" s="6">
        <v>0</v>
      </c>
      <c r="K442" s="2">
        <v>0</v>
      </c>
      <c r="L442" s="2">
        <f t="shared" si="67"/>
        <v>1080</v>
      </c>
      <c r="M442" s="2">
        <f>1.5*30*D442</f>
        <v>90</v>
      </c>
      <c r="N442" s="2"/>
    </row>
    <row r="443" spans="1:14" ht="12.75">
      <c r="A443" s="342"/>
      <c r="B443" s="337"/>
      <c r="C443" s="2" t="s">
        <v>48</v>
      </c>
      <c r="D443" s="2">
        <v>4</v>
      </c>
      <c r="E443" s="2">
        <f>165*D443</f>
        <v>660</v>
      </c>
      <c r="F443" s="2">
        <f>105*D443</f>
        <v>420</v>
      </c>
      <c r="G443" s="2">
        <f>45*D443</f>
        <v>180</v>
      </c>
      <c r="H443" s="2">
        <v>0</v>
      </c>
      <c r="I443" s="2">
        <f>75*D443</f>
        <v>300</v>
      </c>
      <c r="J443" s="6">
        <v>0</v>
      </c>
      <c r="K443" s="2">
        <v>0</v>
      </c>
      <c r="L443" s="2">
        <f>24*D443*30</f>
        <v>2880</v>
      </c>
      <c r="M443" s="2">
        <f>3*30*D443</f>
        <v>360</v>
      </c>
      <c r="N443" s="2"/>
    </row>
    <row r="444" spans="1:14" ht="12.75">
      <c r="A444" s="342"/>
      <c r="B444" s="337"/>
      <c r="C444" s="2" t="s">
        <v>52</v>
      </c>
      <c r="D444" s="2">
        <v>4</v>
      </c>
      <c r="E444" s="2">
        <f>195*D444</f>
        <v>780</v>
      </c>
      <c r="F444" s="2">
        <f>150*D444</f>
        <v>600</v>
      </c>
      <c r="G444" s="2">
        <f>135*D444</f>
        <v>540</v>
      </c>
      <c r="H444" s="2">
        <v>0</v>
      </c>
      <c r="I444" s="2">
        <f>60*D444</f>
        <v>240</v>
      </c>
      <c r="J444" s="6">
        <v>0</v>
      </c>
      <c r="K444" s="2">
        <v>0</v>
      </c>
      <c r="L444" s="2">
        <f>24*D444*30</f>
        <v>2880</v>
      </c>
      <c r="M444" s="2">
        <f>3*30*D444</f>
        <v>360</v>
      </c>
      <c r="N444" s="2"/>
    </row>
    <row r="445" spans="1:14" ht="12.75">
      <c r="A445" s="342"/>
      <c r="B445" s="337"/>
      <c r="C445" s="2" t="s">
        <v>55</v>
      </c>
      <c r="D445" s="2">
        <v>6</v>
      </c>
      <c r="E445" s="2">
        <f>240*D445</f>
        <v>1440</v>
      </c>
      <c r="F445" s="2">
        <f>195*D445</f>
        <v>1170</v>
      </c>
      <c r="G445" s="2">
        <f>45*D445</f>
        <v>270</v>
      </c>
      <c r="H445" s="2">
        <v>0</v>
      </c>
      <c r="I445" s="2">
        <f>60*D445</f>
        <v>360</v>
      </c>
      <c r="J445" s="6">
        <v>0</v>
      </c>
      <c r="K445" s="2">
        <v>0</v>
      </c>
      <c r="L445" s="2">
        <f>30*D445*30</f>
        <v>5400</v>
      </c>
      <c r="M445" s="2">
        <f>3*30*D445</f>
        <v>540</v>
      </c>
      <c r="N445" s="2"/>
    </row>
    <row r="446" spans="1:14" ht="12.75">
      <c r="A446" s="342"/>
      <c r="B446" s="337"/>
      <c r="C446" s="2" t="s">
        <v>59</v>
      </c>
      <c r="D446" s="2">
        <v>6</v>
      </c>
      <c r="E446" s="2">
        <f>255*D446</f>
        <v>1530</v>
      </c>
      <c r="F446" s="2">
        <f>210*D446</f>
        <v>1260</v>
      </c>
      <c r="G446" s="2">
        <f>60*D446</f>
        <v>360</v>
      </c>
      <c r="H446" s="2">
        <v>0</v>
      </c>
      <c r="I446" s="2">
        <f>51*D446</f>
        <v>306</v>
      </c>
      <c r="J446" s="6">
        <v>0</v>
      </c>
      <c r="K446" s="2">
        <v>0</v>
      </c>
      <c r="L446" s="2">
        <f>35*D446*30</f>
        <v>6300</v>
      </c>
      <c r="M446" s="2">
        <f>3*30*D446</f>
        <v>540</v>
      </c>
      <c r="N446" s="2"/>
    </row>
    <row r="447" spans="1:14" ht="12.75">
      <c r="A447" s="342"/>
      <c r="B447" s="337"/>
      <c r="C447" s="2" t="s">
        <v>65</v>
      </c>
      <c r="D447" s="2">
        <v>4</v>
      </c>
      <c r="E447" s="2">
        <f>270*D447</f>
        <v>1080</v>
      </c>
      <c r="F447" s="2">
        <f>220*D447</f>
        <v>880</v>
      </c>
      <c r="G447" s="2">
        <f>60*D447</f>
        <v>240</v>
      </c>
      <c r="H447" s="2">
        <v>0</v>
      </c>
      <c r="I447" s="2">
        <f>56*D447</f>
        <v>224</v>
      </c>
      <c r="J447" s="6">
        <v>0</v>
      </c>
      <c r="K447" s="2">
        <v>0</v>
      </c>
      <c r="L447" s="2">
        <f>40*D447*30</f>
        <v>4800</v>
      </c>
      <c r="M447" s="2">
        <f>3*30*D447</f>
        <v>360</v>
      </c>
      <c r="N447" s="2"/>
    </row>
    <row r="448" spans="1:14" ht="12.75">
      <c r="A448" s="342"/>
      <c r="B448" s="337"/>
      <c r="C448" s="2" t="s">
        <v>70</v>
      </c>
      <c r="D448" s="2">
        <v>0</v>
      </c>
      <c r="E448" s="2">
        <f>270*D448</f>
        <v>0</v>
      </c>
      <c r="F448" s="2">
        <f>220*D448</f>
        <v>0</v>
      </c>
      <c r="G448" s="2">
        <f>75*D448</f>
        <v>0</v>
      </c>
      <c r="H448" s="2">
        <v>0</v>
      </c>
      <c r="I448" s="2">
        <f>60*D448</f>
        <v>0</v>
      </c>
      <c r="J448" s="6">
        <v>0</v>
      </c>
      <c r="K448" s="2">
        <v>0</v>
      </c>
      <c r="L448" s="2">
        <f>40*D448*30</f>
        <v>0</v>
      </c>
      <c r="M448" s="2">
        <f>120*D448</f>
        <v>0</v>
      </c>
      <c r="N448" s="2"/>
    </row>
    <row r="449" spans="1:14" ht="12.75">
      <c r="A449" s="342"/>
      <c r="B449" s="337"/>
      <c r="C449" s="2" t="s">
        <v>83</v>
      </c>
      <c r="D449" s="2">
        <v>0</v>
      </c>
      <c r="E449" s="2">
        <f>255*D449</f>
        <v>0</v>
      </c>
      <c r="F449" s="2">
        <f>210*D449</f>
        <v>0</v>
      </c>
      <c r="G449" s="2">
        <f>60*D449</f>
        <v>0</v>
      </c>
      <c r="H449" s="2">
        <v>0</v>
      </c>
      <c r="I449" s="2">
        <v>0</v>
      </c>
      <c r="J449" s="6">
        <f>2*D449</f>
        <v>0</v>
      </c>
      <c r="K449" s="2">
        <v>0</v>
      </c>
      <c r="L449" s="2">
        <f>40*D449*30</f>
        <v>0</v>
      </c>
      <c r="M449" s="2">
        <f>120*D449</f>
        <v>0</v>
      </c>
      <c r="N449" s="2"/>
    </row>
    <row r="450" spans="1:15" ht="12.75">
      <c r="A450" s="342"/>
      <c r="B450" s="332" t="s">
        <v>64</v>
      </c>
      <c r="C450" s="333"/>
      <c r="D450" s="4">
        <f>SUM(D434:D449)</f>
        <v>163</v>
      </c>
      <c r="E450" s="4">
        <f aca="true" t="shared" si="68" ref="E450:M450">SUM(E434:E449)</f>
        <v>65793</v>
      </c>
      <c r="F450" s="4">
        <f t="shared" si="68"/>
        <v>60258</v>
      </c>
      <c r="G450" s="4">
        <f t="shared" si="68"/>
        <v>10234</v>
      </c>
      <c r="H450" s="4">
        <f t="shared" si="68"/>
        <v>846</v>
      </c>
      <c r="I450" s="4">
        <f t="shared" si="68"/>
        <v>1430</v>
      </c>
      <c r="J450" s="6">
        <f t="shared" si="68"/>
        <v>0</v>
      </c>
      <c r="K450" s="4">
        <f t="shared" si="68"/>
        <v>2390</v>
      </c>
      <c r="L450" s="4">
        <f t="shared" si="68"/>
        <v>382680</v>
      </c>
      <c r="M450" s="4">
        <f t="shared" si="68"/>
        <v>19705</v>
      </c>
      <c r="N450" s="4">
        <f>40*13+150*2+5*13*14+M450</f>
        <v>21435</v>
      </c>
      <c r="O450" s="12"/>
    </row>
    <row r="451" spans="1:14" ht="12.75">
      <c r="A451" s="342"/>
      <c r="B451" s="337">
        <v>4</v>
      </c>
      <c r="C451" s="2" t="s">
        <v>29</v>
      </c>
      <c r="D451" s="2">
        <v>32</v>
      </c>
      <c r="E451" s="3">
        <f>20*D451*30</f>
        <v>19200</v>
      </c>
      <c r="F451" s="2">
        <f>15*D451*30</f>
        <v>14400</v>
      </c>
      <c r="G451" s="2">
        <f>2*D451*30</f>
        <v>1920</v>
      </c>
      <c r="H451" s="3">
        <v>0</v>
      </c>
      <c r="I451" s="2">
        <v>0</v>
      </c>
      <c r="J451" s="6">
        <v>0</v>
      </c>
      <c r="K451" s="3">
        <v>0</v>
      </c>
      <c r="L451" s="2">
        <f>100*D451*30</f>
        <v>96000</v>
      </c>
      <c r="M451" s="3">
        <f>140*D451</f>
        <v>4480</v>
      </c>
      <c r="N451" s="2"/>
    </row>
    <row r="452" spans="1:14" ht="12.75">
      <c r="A452" s="342"/>
      <c r="B452" s="337"/>
      <c r="C452" s="2" t="s">
        <v>36</v>
      </c>
      <c r="D452" s="2">
        <v>64</v>
      </c>
      <c r="E452" s="2">
        <f>15*D452*30</f>
        <v>28800</v>
      </c>
      <c r="F452" s="2">
        <f>20*D452*30</f>
        <v>38400</v>
      </c>
      <c r="G452" s="2">
        <f>2*D452*30</f>
        <v>3840</v>
      </c>
      <c r="H452" s="2">
        <v>0</v>
      </c>
      <c r="I452" s="2">
        <v>0</v>
      </c>
      <c r="J452" s="6">
        <v>0</v>
      </c>
      <c r="K452" s="2">
        <v>0</v>
      </c>
      <c r="L452" s="2">
        <f>100*D452*30</f>
        <v>192000</v>
      </c>
      <c r="M452" s="3">
        <f>140*D452</f>
        <v>8960</v>
      </c>
      <c r="N452" s="2"/>
    </row>
    <row r="453" spans="1:14" ht="12.75">
      <c r="A453" s="342"/>
      <c r="B453" s="337"/>
      <c r="C453" s="2" t="s">
        <v>51</v>
      </c>
      <c r="D453" s="2">
        <v>20</v>
      </c>
      <c r="E453" s="2">
        <f>20*D453*30</f>
        <v>12000</v>
      </c>
      <c r="F453" s="2">
        <f>5*D453*30</f>
        <v>3000</v>
      </c>
      <c r="G453" s="2">
        <f>4*D453*30</f>
        <v>2400</v>
      </c>
      <c r="H453" s="2">
        <v>0</v>
      </c>
      <c r="I453" s="2">
        <v>0</v>
      </c>
      <c r="J453" s="6">
        <v>0</v>
      </c>
      <c r="K453" s="2">
        <v>0</v>
      </c>
      <c r="L453" s="2">
        <f>100*D453*30</f>
        <v>60000</v>
      </c>
      <c r="M453" s="3">
        <f>140*D453</f>
        <v>2800</v>
      </c>
      <c r="N453" s="2"/>
    </row>
    <row r="454" spans="1:14" ht="12.75">
      <c r="A454" s="342"/>
      <c r="B454" s="337"/>
      <c r="C454" s="2" t="s">
        <v>30</v>
      </c>
      <c r="D454" s="2">
        <v>10</v>
      </c>
      <c r="E454" s="3">
        <f>3*D454</f>
        <v>30</v>
      </c>
      <c r="F454" s="2">
        <v>0</v>
      </c>
      <c r="G454" s="2">
        <f>6*D454</f>
        <v>60</v>
      </c>
      <c r="H454" s="2">
        <f>10*D454</f>
        <v>100</v>
      </c>
      <c r="I454" s="2">
        <v>0</v>
      </c>
      <c r="J454" s="6">
        <v>0</v>
      </c>
      <c r="K454" s="2">
        <f>170*D454</f>
        <v>1700</v>
      </c>
      <c r="L454" s="2">
        <f aca="true" t="shared" si="69" ref="L454:L459">18*D454*30</f>
        <v>5400</v>
      </c>
      <c r="M454" s="3">
        <f>60*10</f>
        <v>600</v>
      </c>
      <c r="N454" s="2"/>
    </row>
    <row r="455" spans="1:14" ht="12.75">
      <c r="A455" s="342"/>
      <c r="B455" s="337"/>
      <c r="C455" s="2" t="s">
        <v>32</v>
      </c>
      <c r="D455" s="2">
        <v>2</v>
      </c>
      <c r="E455" s="2">
        <f>14*D455</f>
        <v>28</v>
      </c>
      <c r="F455" s="2">
        <v>0</v>
      </c>
      <c r="G455" s="2">
        <f>9*D455</f>
        <v>18</v>
      </c>
      <c r="H455" s="2">
        <f>45*D455</f>
        <v>90</v>
      </c>
      <c r="I455" s="2">
        <v>0</v>
      </c>
      <c r="J455" s="6">
        <v>0</v>
      </c>
      <c r="K455" s="2">
        <f>90*D455</f>
        <v>180</v>
      </c>
      <c r="L455" s="2">
        <f t="shared" si="69"/>
        <v>1080</v>
      </c>
      <c r="M455" s="3">
        <f>75+1.5*30*D455</f>
        <v>165</v>
      </c>
      <c r="N455" s="2"/>
    </row>
    <row r="456" spans="1:14" ht="12.75">
      <c r="A456" s="342"/>
      <c r="B456" s="337"/>
      <c r="C456" s="2" t="s">
        <v>34</v>
      </c>
      <c r="D456" s="2">
        <v>2</v>
      </c>
      <c r="E456" s="2">
        <f>15*D456</f>
        <v>30</v>
      </c>
      <c r="F456" s="2">
        <v>0</v>
      </c>
      <c r="G456" s="2">
        <f>13*D456</f>
        <v>26</v>
      </c>
      <c r="H456" s="2">
        <f>72*D456</f>
        <v>144</v>
      </c>
      <c r="I456" s="2">
        <v>0</v>
      </c>
      <c r="J456" s="6">
        <v>0</v>
      </c>
      <c r="K456" s="2">
        <v>0</v>
      </c>
      <c r="L456" s="2">
        <f t="shared" si="69"/>
        <v>1080</v>
      </c>
      <c r="M456" s="2">
        <f>1.5*30*D456</f>
        <v>90</v>
      </c>
      <c r="N456" s="2"/>
    </row>
    <row r="457" spans="1:14" ht="12.75">
      <c r="A457" s="342"/>
      <c r="B457" s="337"/>
      <c r="C457" s="2" t="s">
        <v>37</v>
      </c>
      <c r="D457" s="2">
        <v>2</v>
      </c>
      <c r="E457" s="2">
        <f>21*D457</f>
        <v>42</v>
      </c>
      <c r="F457" s="3">
        <v>0</v>
      </c>
      <c r="G457" s="2">
        <f>21*D457</f>
        <v>42</v>
      </c>
      <c r="H457" s="2">
        <f>80*D457</f>
        <v>160</v>
      </c>
      <c r="I457" s="3">
        <v>0</v>
      </c>
      <c r="J457" s="6">
        <v>0</v>
      </c>
      <c r="K457" s="3">
        <v>0</v>
      </c>
      <c r="L457" s="2">
        <f t="shared" si="69"/>
        <v>1080</v>
      </c>
      <c r="M457" s="2">
        <f>1.5*30*D457</f>
        <v>90</v>
      </c>
      <c r="N457" s="2"/>
    </row>
    <row r="458" spans="1:14" ht="12.75">
      <c r="A458" s="342"/>
      <c r="B458" s="337"/>
      <c r="C458" s="2" t="s">
        <v>39</v>
      </c>
      <c r="D458" s="2">
        <v>2</v>
      </c>
      <c r="E458" s="2">
        <f>24*D458</f>
        <v>48</v>
      </c>
      <c r="F458" s="2">
        <f>20*D458</f>
        <v>40</v>
      </c>
      <c r="G458" s="2">
        <f>25*D458</f>
        <v>50</v>
      </c>
      <c r="H458" s="2">
        <f>83*D458</f>
        <v>166</v>
      </c>
      <c r="I458" s="2">
        <v>0</v>
      </c>
      <c r="J458" s="6">
        <v>0</v>
      </c>
      <c r="K458" s="2">
        <v>0</v>
      </c>
      <c r="L458" s="2">
        <f t="shared" si="69"/>
        <v>1080</v>
      </c>
      <c r="M458" s="2">
        <f>1.5*30*D458</f>
        <v>90</v>
      </c>
      <c r="N458" s="2"/>
    </row>
    <row r="459" spans="1:14" ht="12.75">
      <c r="A459" s="342"/>
      <c r="B459" s="337"/>
      <c r="C459" s="2" t="s">
        <v>42</v>
      </c>
      <c r="D459" s="2">
        <v>2</v>
      </c>
      <c r="E459" s="2">
        <f>58*D459</f>
        <v>116</v>
      </c>
      <c r="F459" s="2">
        <f>44*D459</f>
        <v>88</v>
      </c>
      <c r="G459" s="2">
        <f>135*D459</f>
        <v>270</v>
      </c>
      <c r="H459" s="2">
        <f>78*D459</f>
        <v>156</v>
      </c>
      <c r="I459" s="2">
        <v>0</v>
      </c>
      <c r="J459" s="6">
        <v>0</v>
      </c>
      <c r="K459" s="2">
        <v>0</v>
      </c>
      <c r="L459" s="2">
        <f t="shared" si="69"/>
        <v>1080</v>
      </c>
      <c r="M459" s="2">
        <f>1.5*30*D459</f>
        <v>90</v>
      </c>
      <c r="N459" s="2"/>
    </row>
    <row r="460" spans="1:14" ht="12.75">
      <c r="A460" s="342"/>
      <c r="B460" s="337"/>
      <c r="C460" s="2" t="s">
        <v>48</v>
      </c>
      <c r="D460" s="2">
        <v>6</v>
      </c>
      <c r="E460" s="2">
        <f>165*D460</f>
        <v>990</v>
      </c>
      <c r="F460" s="2">
        <f>105*D460</f>
        <v>630</v>
      </c>
      <c r="G460" s="2">
        <f>45*D460</f>
        <v>270</v>
      </c>
      <c r="H460" s="2">
        <v>0</v>
      </c>
      <c r="I460" s="2">
        <f>75*D460</f>
        <v>450</v>
      </c>
      <c r="J460" s="6">
        <v>0</v>
      </c>
      <c r="K460" s="2">
        <v>0</v>
      </c>
      <c r="L460" s="2">
        <f>24*D460*30</f>
        <v>4320</v>
      </c>
      <c r="M460" s="2">
        <f>3*30*D460</f>
        <v>540</v>
      </c>
      <c r="N460" s="2"/>
    </row>
    <row r="461" spans="1:14" ht="12.75">
      <c r="A461" s="342"/>
      <c r="B461" s="337"/>
      <c r="C461" s="2" t="s">
        <v>52</v>
      </c>
      <c r="D461" s="2">
        <v>2</v>
      </c>
      <c r="E461" s="2">
        <f>195*D461</f>
        <v>390</v>
      </c>
      <c r="F461" s="2">
        <f>150*D461</f>
        <v>300</v>
      </c>
      <c r="G461" s="2">
        <f>135*D461</f>
        <v>270</v>
      </c>
      <c r="H461" s="2">
        <v>0</v>
      </c>
      <c r="I461" s="2">
        <f>60*D461</f>
        <v>120</v>
      </c>
      <c r="J461" s="6">
        <v>0</v>
      </c>
      <c r="K461" s="2">
        <v>0</v>
      </c>
      <c r="L461" s="2">
        <f>24*D461*30</f>
        <v>1440</v>
      </c>
      <c r="M461" s="2">
        <f>3*30*D461</f>
        <v>180</v>
      </c>
      <c r="N461" s="2"/>
    </row>
    <row r="462" spans="1:14" ht="12.75">
      <c r="A462" s="342"/>
      <c r="B462" s="337"/>
      <c r="C462" s="2" t="s">
        <v>55</v>
      </c>
      <c r="D462" s="2">
        <v>6</v>
      </c>
      <c r="E462" s="2">
        <f>240*D462</f>
        <v>1440</v>
      </c>
      <c r="F462" s="2">
        <f>195*D462</f>
        <v>1170</v>
      </c>
      <c r="G462" s="2">
        <f>45*D462</f>
        <v>270</v>
      </c>
      <c r="H462" s="2">
        <v>0</v>
      </c>
      <c r="I462" s="2">
        <f>60*D462</f>
        <v>360</v>
      </c>
      <c r="J462" s="6">
        <v>0</v>
      </c>
      <c r="K462" s="2">
        <v>0</v>
      </c>
      <c r="L462" s="2">
        <f>30*D462*30</f>
        <v>5400</v>
      </c>
      <c r="M462" s="2">
        <f>3*30*D462</f>
        <v>540</v>
      </c>
      <c r="N462" s="2"/>
    </row>
    <row r="463" spans="1:14" ht="12.75">
      <c r="A463" s="342"/>
      <c r="B463" s="337"/>
      <c r="C463" s="2" t="s">
        <v>59</v>
      </c>
      <c r="D463" s="2">
        <v>6</v>
      </c>
      <c r="E463" s="2">
        <f>255*D463</f>
        <v>1530</v>
      </c>
      <c r="F463" s="2">
        <f>210*D463</f>
        <v>1260</v>
      </c>
      <c r="G463" s="2">
        <f>60*D463</f>
        <v>360</v>
      </c>
      <c r="H463" s="2">
        <v>0</v>
      </c>
      <c r="I463" s="2">
        <f>51*D463</f>
        <v>306</v>
      </c>
      <c r="J463" s="6">
        <v>0</v>
      </c>
      <c r="K463" s="2">
        <v>0</v>
      </c>
      <c r="L463" s="2">
        <f>35*D463*30</f>
        <v>6300</v>
      </c>
      <c r="M463" s="2">
        <f>3*30*D463</f>
        <v>540</v>
      </c>
      <c r="N463" s="2"/>
    </row>
    <row r="464" spans="1:14" ht="12.75">
      <c r="A464" s="342"/>
      <c r="B464" s="337"/>
      <c r="C464" s="2" t="s">
        <v>65</v>
      </c>
      <c r="D464" s="2">
        <v>6</v>
      </c>
      <c r="E464" s="2">
        <f>270*D464</f>
        <v>1620</v>
      </c>
      <c r="F464" s="2">
        <f>220*D464</f>
        <v>1320</v>
      </c>
      <c r="G464" s="2">
        <f>60*D464</f>
        <v>360</v>
      </c>
      <c r="H464" s="2">
        <v>0</v>
      </c>
      <c r="I464" s="2">
        <f>56*D464</f>
        <v>336</v>
      </c>
      <c r="J464" s="6">
        <v>0</v>
      </c>
      <c r="K464" s="2">
        <v>0</v>
      </c>
      <c r="L464" s="2">
        <f>40*D464*30</f>
        <v>7200</v>
      </c>
      <c r="M464" s="2">
        <f>3*30*D464</f>
        <v>540</v>
      </c>
      <c r="N464" s="2"/>
    </row>
    <row r="465" spans="1:14" ht="12.75">
      <c r="A465" s="342"/>
      <c r="B465" s="337"/>
      <c r="C465" s="2" t="s">
        <v>70</v>
      </c>
      <c r="D465" s="2">
        <v>0</v>
      </c>
      <c r="E465" s="2">
        <f>270*D465</f>
        <v>0</v>
      </c>
      <c r="F465" s="2">
        <f>220*D465</f>
        <v>0</v>
      </c>
      <c r="G465" s="2">
        <f>75*D465</f>
        <v>0</v>
      </c>
      <c r="H465" s="2">
        <v>0</v>
      </c>
      <c r="I465" s="2">
        <f>60*D465</f>
        <v>0</v>
      </c>
      <c r="J465" s="6">
        <v>0</v>
      </c>
      <c r="K465" s="2">
        <v>0</v>
      </c>
      <c r="L465" s="2">
        <f>40*D465*30</f>
        <v>0</v>
      </c>
      <c r="M465" s="2">
        <v>0</v>
      </c>
      <c r="N465" s="2"/>
    </row>
    <row r="466" spans="1:14" ht="12.75">
      <c r="A466" s="342"/>
      <c r="B466" s="337"/>
      <c r="C466" s="2" t="s">
        <v>83</v>
      </c>
      <c r="D466" s="2">
        <v>0</v>
      </c>
      <c r="E466" s="2">
        <f>255*D466</f>
        <v>0</v>
      </c>
      <c r="F466" s="2">
        <f>210*D466</f>
        <v>0</v>
      </c>
      <c r="G466" s="2">
        <f>60*D466</f>
        <v>0</v>
      </c>
      <c r="H466" s="2">
        <v>0</v>
      </c>
      <c r="I466" s="2">
        <v>0</v>
      </c>
      <c r="J466" s="6">
        <f>2*D466</f>
        <v>0</v>
      </c>
      <c r="K466" s="2">
        <v>0</v>
      </c>
      <c r="L466" s="2">
        <f>40*D466*30</f>
        <v>0</v>
      </c>
      <c r="M466" s="2">
        <v>0</v>
      </c>
      <c r="N466" s="2"/>
    </row>
    <row r="467" spans="1:15" ht="12.75">
      <c r="A467" s="342"/>
      <c r="B467" s="332" t="s">
        <v>66</v>
      </c>
      <c r="C467" s="333"/>
      <c r="D467" s="4">
        <f>SUM(D451:D466)</f>
        <v>162</v>
      </c>
      <c r="E467" s="4">
        <f aca="true" t="shared" si="70" ref="E467:M467">SUM(E451:E466)</f>
        <v>66264</v>
      </c>
      <c r="F467" s="4">
        <f t="shared" si="70"/>
        <v>60608</v>
      </c>
      <c r="G467" s="4">
        <f t="shared" si="70"/>
        <v>10156</v>
      </c>
      <c r="H467" s="4">
        <f t="shared" si="70"/>
        <v>816</v>
      </c>
      <c r="I467" s="4">
        <f t="shared" si="70"/>
        <v>1572</v>
      </c>
      <c r="J467" s="6">
        <f t="shared" si="70"/>
        <v>0</v>
      </c>
      <c r="K467" s="4">
        <f t="shared" si="70"/>
        <v>1880</v>
      </c>
      <c r="L467" s="4">
        <f t="shared" si="70"/>
        <v>383460</v>
      </c>
      <c r="M467" s="4">
        <f t="shared" si="70"/>
        <v>19705</v>
      </c>
      <c r="N467" s="4">
        <f>40*10+150*2+5*10*14+M467</f>
        <v>21105</v>
      </c>
      <c r="O467" s="12"/>
    </row>
    <row r="468" spans="1:14" ht="12.75">
      <c r="A468" s="342"/>
      <c r="B468" s="337">
        <v>5</v>
      </c>
      <c r="C468" s="2" t="s">
        <v>29</v>
      </c>
      <c r="D468" s="2">
        <v>32</v>
      </c>
      <c r="E468" s="3">
        <f>20*D468*30</f>
        <v>19200</v>
      </c>
      <c r="F468" s="2">
        <f>15*D468*30</f>
        <v>14400</v>
      </c>
      <c r="G468" s="2">
        <f>2*D468*30</f>
        <v>1920</v>
      </c>
      <c r="H468" s="3">
        <v>0</v>
      </c>
      <c r="I468" s="2">
        <v>0</v>
      </c>
      <c r="J468" s="6">
        <v>0</v>
      </c>
      <c r="K468" s="3">
        <v>0</v>
      </c>
      <c r="L468" s="2">
        <f>100*D468*30</f>
        <v>96000</v>
      </c>
      <c r="M468" s="3">
        <f>140*D468</f>
        <v>4480</v>
      </c>
      <c r="N468" s="2"/>
    </row>
    <row r="469" spans="1:14" ht="12.75">
      <c r="A469" s="342"/>
      <c r="B469" s="337"/>
      <c r="C469" s="2" t="s">
        <v>36</v>
      </c>
      <c r="D469" s="2">
        <v>64</v>
      </c>
      <c r="E469" s="2">
        <f>15*D469*30</f>
        <v>28800</v>
      </c>
      <c r="F469" s="2">
        <f>20*D469*30</f>
        <v>38400</v>
      </c>
      <c r="G469" s="2">
        <f>2*D469*30</f>
        <v>3840</v>
      </c>
      <c r="H469" s="2">
        <v>0</v>
      </c>
      <c r="I469" s="2">
        <v>0</v>
      </c>
      <c r="J469" s="6">
        <v>0</v>
      </c>
      <c r="K469" s="2">
        <v>0</v>
      </c>
      <c r="L469" s="2">
        <f>100*D469*30</f>
        <v>192000</v>
      </c>
      <c r="M469" s="3">
        <f>140*D469</f>
        <v>8960</v>
      </c>
      <c r="N469" s="2"/>
    </row>
    <row r="470" spans="1:14" ht="12.75">
      <c r="A470" s="342"/>
      <c r="B470" s="337"/>
      <c r="C470" s="2" t="s">
        <v>51</v>
      </c>
      <c r="D470" s="2">
        <v>20</v>
      </c>
      <c r="E470" s="2">
        <f>20*D470*30</f>
        <v>12000</v>
      </c>
      <c r="F470" s="2">
        <f>5*D470*30</f>
        <v>3000</v>
      </c>
      <c r="G470" s="2">
        <f>4*D470*30</f>
        <v>2400</v>
      </c>
      <c r="H470" s="2">
        <v>0</v>
      </c>
      <c r="I470" s="2">
        <v>0</v>
      </c>
      <c r="J470" s="6">
        <v>0</v>
      </c>
      <c r="K470" s="2">
        <v>0</v>
      </c>
      <c r="L470" s="2">
        <f>100*D470*30</f>
        <v>60000</v>
      </c>
      <c r="M470" s="3">
        <f>140*D470</f>
        <v>2800</v>
      </c>
      <c r="N470" s="2"/>
    </row>
    <row r="471" spans="1:14" ht="12.75">
      <c r="A471" s="342"/>
      <c r="B471" s="337"/>
      <c r="C471" s="2" t="s">
        <v>30</v>
      </c>
      <c r="D471" s="2">
        <v>10</v>
      </c>
      <c r="E471" s="3">
        <f>3*D471</f>
        <v>30</v>
      </c>
      <c r="F471" s="2">
        <v>0</v>
      </c>
      <c r="G471" s="2">
        <f>6*D471</f>
        <v>60</v>
      </c>
      <c r="H471" s="2">
        <f>10*D471</f>
        <v>100</v>
      </c>
      <c r="I471" s="2">
        <v>0</v>
      </c>
      <c r="J471" s="6">
        <v>0</v>
      </c>
      <c r="K471" s="2">
        <f>170*D471</f>
        <v>1700</v>
      </c>
      <c r="L471" s="2">
        <f aca="true" t="shared" si="71" ref="L471:L476">18*D471*30</f>
        <v>5400</v>
      </c>
      <c r="M471" s="3">
        <f>60*10</f>
        <v>600</v>
      </c>
      <c r="N471" s="2"/>
    </row>
    <row r="472" spans="1:14" ht="12.75">
      <c r="A472" s="342"/>
      <c r="B472" s="337"/>
      <c r="C472" s="2" t="s">
        <v>32</v>
      </c>
      <c r="D472" s="2">
        <v>2</v>
      </c>
      <c r="E472" s="2">
        <f>14*D472</f>
        <v>28</v>
      </c>
      <c r="F472" s="2">
        <v>0</v>
      </c>
      <c r="G472" s="2">
        <f>9*D472</f>
        <v>18</v>
      </c>
      <c r="H472" s="2">
        <f>45*D472</f>
        <v>90</v>
      </c>
      <c r="I472" s="2">
        <v>0</v>
      </c>
      <c r="J472" s="6">
        <v>0</v>
      </c>
      <c r="K472" s="2">
        <f>90*D472</f>
        <v>180</v>
      </c>
      <c r="L472" s="2">
        <f t="shared" si="71"/>
        <v>1080</v>
      </c>
      <c r="M472" s="3">
        <f>75+1.5*30*D472</f>
        <v>165</v>
      </c>
      <c r="N472" s="2"/>
    </row>
    <row r="473" spans="1:14" ht="12.75">
      <c r="A473" s="342"/>
      <c r="B473" s="337"/>
      <c r="C473" s="2" t="s">
        <v>34</v>
      </c>
      <c r="D473" s="2">
        <v>2</v>
      </c>
      <c r="E473" s="2">
        <f>15*D473</f>
        <v>30</v>
      </c>
      <c r="F473" s="2">
        <v>0</v>
      </c>
      <c r="G473" s="2">
        <f>13*D473</f>
        <v>26</v>
      </c>
      <c r="H473" s="2">
        <f>72*D473</f>
        <v>144</v>
      </c>
      <c r="I473" s="2">
        <v>0</v>
      </c>
      <c r="J473" s="6">
        <v>0</v>
      </c>
      <c r="K473" s="2">
        <v>0</v>
      </c>
      <c r="L473" s="2">
        <f t="shared" si="71"/>
        <v>1080</v>
      </c>
      <c r="M473" s="2">
        <f>1.5*30*D473</f>
        <v>90</v>
      </c>
      <c r="N473" s="2"/>
    </row>
    <row r="474" spans="1:14" ht="12.75">
      <c r="A474" s="342"/>
      <c r="B474" s="337"/>
      <c r="C474" s="2" t="s">
        <v>37</v>
      </c>
      <c r="D474" s="2">
        <v>2</v>
      </c>
      <c r="E474" s="2">
        <f>21*D474</f>
        <v>42</v>
      </c>
      <c r="F474" s="3">
        <v>0</v>
      </c>
      <c r="G474" s="2">
        <f>21*D474</f>
        <v>42</v>
      </c>
      <c r="H474" s="2">
        <f>80*D474</f>
        <v>160</v>
      </c>
      <c r="I474" s="3">
        <v>0</v>
      </c>
      <c r="J474" s="6">
        <v>0</v>
      </c>
      <c r="K474" s="3">
        <v>0</v>
      </c>
      <c r="L474" s="2">
        <f t="shared" si="71"/>
        <v>1080</v>
      </c>
      <c r="M474" s="2">
        <f>1.5*30*D474</f>
        <v>90</v>
      </c>
      <c r="N474" s="2"/>
    </row>
    <row r="475" spans="1:14" ht="12.75">
      <c r="A475" s="342"/>
      <c r="B475" s="337"/>
      <c r="C475" s="2" t="s">
        <v>39</v>
      </c>
      <c r="D475" s="2">
        <v>2</v>
      </c>
      <c r="E475" s="2">
        <f>24*D475</f>
        <v>48</v>
      </c>
      <c r="F475" s="2">
        <f>20*D475</f>
        <v>40</v>
      </c>
      <c r="G475" s="2">
        <f>25*D475</f>
        <v>50</v>
      </c>
      <c r="H475" s="2">
        <f>83*D475</f>
        <v>166</v>
      </c>
      <c r="I475" s="2">
        <v>0</v>
      </c>
      <c r="J475" s="6">
        <v>0</v>
      </c>
      <c r="K475" s="2">
        <v>0</v>
      </c>
      <c r="L475" s="2">
        <f t="shared" si="71"/>
        <v>1080</v>
      </c>
      <c r="M475" s="2">
        <f>1.5*30*D475</f>
        <v>90</v>
      </c>
      <c r="N475" s="2"/>
    </row>
    <row r="476" spans="1:14" ht="12.75">
      <c r="A476" s="342"/>
      <c r="B476" s="337"/>
      <c r="C476" s="2" t="s">
        <v>42</v>
      </c>
      <c r="D476" s="2">
        <v>2</v>
      </c>
      <c r="E476" s="2">
        <f>58*D476</f>
        <v>116</v>
      </c>
      <c r="F476" s="2">
        <f>44*D476</f>
        <v>88</v>
      </c>
      <c r="G476" s="2">
        <f>135*D476</f>
        <v>270</v>
      </c>
      <c r="H476" s="2">
        <f>78*D476</f>
        <v>156</v>
      </c>
      <c r="I476" s="2">
        <v>0</v>
      </c>
      <c r="J476" s="6">
        <v>0</v>
      </c>
      <c r="K476" s="2">
        <v>0</v>
      </c>
      <c r="L476" s="2">
        <f t="shared" si="71"/>
        <v>1080</v>
      </c>
      <c r="M476" s="2">
        <f>1.5*30*D476</f>
        <v>90</v>
      </c>
      <c r="N476" s="2"/>
    </row>
    <row r="477" spans="1:14" ht="12.75">
      <c r="A477" s="342"/>
      <c r="B477" s="337"/>
      <c r="C477" s="2" t="s">
        <v>48</v>
      </c>
      <c r="D477" s="2">
        <v>6</v>
      </c>
      <c r="E477" s="2">
        <f>165*D477</f>
        <v>990</v>
      </c>
      <c r="F477" s="2">
        <f>105*D477</f>
        <v>630</v>
      </c>
      <c r="G477" s="2">
        <f>45*D477</f>
        <v>270</v>
      </c>
      <c r="H477" s="2">
        <v>0</v>
      </c>
      <c r="I477" s="2">
        <f>75*D477</f>
        <v>450</v>
      </c>
      <c r="J477" s="6">
        <v>0</v>
      </c>
      <c r="K477" s="2">
        <v>0</v>
      </c>
      <c r="L477" s="2">
        <f>24*D477*30</f>
        <v>4320</v>
      </c>
      <c r="M477" s="2">
        <f>3*30*D477</f>
        <v>540</v>
      </c>
      <c r="N477" s="2"/>
    </row>
    <row r="478" spans="1:14" ht="12.75">
      <c r="A478" s="342"/>
      <c r="B478" s="337"/>
      <c r="C478" s="2" t="s">
        <v>52</v>
      </c>
      <c r="D478" s="2">
        <v>2</v>
      </c>
      <c r="E478" s="2">
        <f>195*D478</f>
        <v>390</v>
      </c>
      <c r="F478" s="2">
        <f>150*D478</f>
        <v>300</v>
      </c>
      <c r="G478" s="2">
        <f>135*D478</f>
        <v>270</v>
      </c>
      <c r="H478" s="2">
        <v>0</v>
      </c>
      <c r="I478" s="2">
        <f>60*D478</f>
        <v>120</v>
      </c>
      <c r="J478" s="6">
        <v>0</v>
      </c>
      <c r="K478" s="2">
        <v>0</v>
      </c>
      <c r="L478" s="2">
        <f>24*D478*30</f>
        <v>1440</v>
      </c>
      <c r="M478" s="2">
        <f>100+3*30*D478</f>
        <v>280</v>
      </c>
      <c r="N478" s="2"/>
    </row>
    <row r="479" spans="1:14" ht="12.75">
      <c r="A479" s="342"/>
      <c r="B479" s="337"/>
      <c r="C479" s="2" t="s">
        <v>55</v>
      </c>
      <c r="D479" s="2">
        <v>6</v>
      </c>
      <c r="E479" s="2">
        <f>240*D479</f>
        <v>1440</v>
      </c>
      <c r="F479" s="2">
        <f>195*D479</f>
        <v>1170</v>
      </c>
      <c r="G479" s="2">
        <f>45*D479</f>
        <v>270</v>
      </c>
      <c r="H479" s="2">
        <v>0</v>
      </c>
      <c r="I479" s="2">
        <f>60*D479</f>
        <v>360</v>
      </c>
      <c r="J479" s="6">
        <v>0</v>
      </c>
      <c r="K479" s="2">
        <v>0</v>
      </c>
      <c r="L479" s="2">
        <f>30*D479*30</f>
        <v>5400</v>
      </c>
      <c r="M479" s="2">
        <f>3*30*D479</f>
        <v>540</v>
      </c>
      <c r="N479" s="2"/>
    </row>
    <row r="480" spans="1:14" ht="12.75">
      <c r="A480" s="342"/>
      <c r="B480" s="337"/>
      <c r="C480" s="2" t="s">
        <v>59</v>
      </c>
      <c r="D480" s="2">
        <v>6</v>
      </c>
      <c r="E480" s="2">
        <f>255*D480</f>
        <v>1530</v>
      </c>
      <c r="F480" s="2">
        <f>210*D480</f>
        <v>1260</v>
      </c>
      <c r="G480" s="2">
        <f>60*D480</f>
        <v>360</v>
      </c>
      <c r="H480" s="2">
        <v>0</v>
      </c>
      <c r="I480" s="2">
        <f>51*D480</f>
        <v>306</v>
      </c>
      <c r="J480" s="6">
        <v>0</v>
      </c>
      <c r="K480" s="2">
        <v>0</v>
      </c>
      <c r="L480" s="2">
        <f>35*D480*30</f>
        <v>6300</v>
      </c>
      <c r="M480" s="2">
        <f>3*30*D480</f>
        <v>540</v>
      </c>
      <c r="N480" s="2"/>
    </row>
    <row r="481" spans="1:14" ht="12.75">
      <c r="A481" s="342"/>
      <c r="B481" s="337"/>
      <c r="C481" s="2" t="s">
        <v>65</v>
      </c>
      <c r="D481" s="2">
        <v>6</v>
      </c>
      <c r="E481" s="2">
        <f>270*D481</f>
        <v>1620</v>
      </c>
      <c r="F481" s="2">
        <f>220*D481</f>
        <v>1320</v>
      </c>
      <c r="G481" s="2">
        <f>60*D481</f>
        <v>360</v>
      </c>
      <c r="H481" s="2">
        <v>0</v>
      </c>
      <c r="I481" s="2">
        <f>56*D481</f>
        <v>336</v>
      </c>
      <c r="J481" s="6">
        <v>0</v>
      </c>
      <c r="K481" s="2">
        <v>0</v>
      </c>
      <c r="L481" s="2">
        <f>40*D481*30</f>
        <v>7200</v>
      </c>
      <c r="M481" s="2">
        <f>3*30*D481</f>
        <v>540</v>
      </c>
      <c r="N481" s="2"/>
    </row>
    <row r="482" spans="1:14" ht="12.75">
      <c r="A482" s="342"/>
      <c r="B482" s="337"/>
      <c r="C482" s="2" t="s">
        <v>70</v>
      </c>
      <c r="D482" s="2">
        <v>2</v>
      </c>
      <c r="E482" s="2">
        <f>270*D482</f>
        <v>540</v>
      </c>
      <c r="F482" s="2">
        <f>220*D482</f>
        <v>440</v>
      </c>
      <c r="G482" s="2">
        <f>75*D482</f>
        <v>150</v>
      </c>
      <c r="H482" s="2">
        <v>0</v>
      </c>
      <c r="I482" s="2">
        <f>60*D482</f>
        <v>120</v>
      </c>
      <c r="J482" s="6">
        <v>0</v>
      </c>
      <c r="K482" s="2">
        <v>0</v>
      </c>
      <c r="L482" s="2">
        <f>40*D482*30</f>
        <v>2400</v>
      </c>
      <c r="M482" s="2">
        <f>125+3*30*D482</f>
        <v>305</v>
      </c>
      <c r="N482" s="2"/>
    </row>
    <row r="483" spans="1:14" ht="12.75">
      <c r="A483" s="342"/>
      <c r="B483" s="337"/>
      <c r="C483" s="2" t="s">
        <v>83</v>
      </c>
      <c r="D483" s="2">
        <v>0</v>
      </c>
      <c r="E483" s="2">
        <f>255*D483</f>
        <v>0</v>
      </c>
      <c r="F483" s="2">
        <f>210*D483</f>
        <v>0</v>
      </c>
      <c r="G483" s="2">
        <f>60*D483</f>
        <v>0</v>
      </c>
      <c r="H483" s="2">
        <v>0</v>
      </c>
      <c r="I483" s="2">
        <v>0</v>
      </c>
      <c r="J483" s="6">
        <f>2*D483</f>
        <v>0</v>
      </c>
      <c r="K483" s="2">
        <v>0</v>
      </c>
      <c r="L483" s="2">
        <f>40*D483*30</f>
        <v>0</v>
      </c>
      <c r="M483" s="2">
        <f>120*D483</f>
        <v>0</v>
      </c>
      <c r="N483" s="2"/>
    </row>
    <row r="484" spans="1:15" ht="12.75">
      <c r="A484" s="342"/>
      <c r="B484" s="332" t="s">
        <v>68</v>
      </c>
      <c r="C484" s="333"/>
      <c r="D484" s="4">
        <f>SUM(D468:D483)</f>
        <v>164</v>
      </c>
      <c r="E484" s="4">
        <f aca="true" t="shared" si="72" ref="E484:M484">SUM(E468:E483)</f>
        <v>66804</v>
      </c>
      <c r="F484" s="4">
        <f t="shared" si="72"/>
        <v>61048</v>
      </c>
      <c r="G484" s="4">
        <f t="shared" si="72"/>
        <v>10306</v>
      </c>
      <c r="H484" s="4">
        <f t="shared" si="72"/>
        <v>816</v>
      </c>
      <c r="I484" s="4">
        <f t="shared" si="72"/>
        <v>1692</v>
      </c>
      <c r="J484" s="6">
        <f>SUM(J468:J483)</f>
        <v>0</v>
      </c>
      <c r="K484" s="4">
        <f t="shared" si="72"/>
        <v>1880</v>
      </c>
      <c r="L484" s="4">
        <f t="shared" si="72"/>
        <v>385860</v>
      </c>
      <c r="M484" s="4">
        <f t="shared" si="72"/>
        <v>20110</v>
      </c>
      <c r="N484" s="4">
        <f>40*10+150*2+5*10*14+M484</f>
        <v>21510</v>
      </c>
      <c r="O484" s="12"/>
    </row>
    <row r="485" spans="1:14" ht="12.75">
      <c r="A485" s="342"/>
      <c r="B485" s="337">
        <v>6</v>
      </c>
      <c r="C485" s="2" t="s">
        <v>29</v>
      </c>
      <c r="D485" s="2">
        <v>32</v>
      </c>
      <c r="E485" s="3">
        <f>20*D485*30</f>
        <v>19200</v>
      </c>
      <c r="F485" s="2">
        <f>15*D485*30</f>
        <v>14400</v>
      </c>
      <c r="G485" s="2">
        <f>2*D485*30</f>
        <v>1920</v>
      </c>
      <c r="H485" s="3">
        <v>0</v>
      </c>
      <c r="I485" s="2">
        <v>0</v>
      </c>
      <c r="J485" s="6">
        <v>0</v>
      </c>
      <c r="K485" s="3">
        <v>0</v>
      </c>
      <c r="L485" s="2">
        <f>100*D485*30</f>
        <v>96000</v>
      </c>
      <c r="M485" s="3">
        <f>140*D485</f>
        <v>4480</v>
      </c>
      <c r="N485" s="2"/>
    </row>
    <row r="486" spans="1:14" ht="12.75">
      <c r="A486" s="342"/>
      <c r="B486" s="337"/>
      <c r="C486" s="2" t="s">
        <v>36</v>
      </c>
      <c r="D486" s="2">
        <v>64</v>
      </c>
      <c r="E486" s="2">
        <f>15*D486*30</f>
        <v>28800</v>
      </c>
      <c r="F486" s="2">
        <f>20*D486*30</f>
        <v>38400</v>
      </c>
      <c r="G486" s="2">
        <f>2*D486*30</f>
        <v>3840</v>
      </c>
      <c r="H486" s="2">
        <v>0</v>
      </c>
      <c r="I486" s="2">
        <v>0</v>
      </c>
      <c r="J486" s="6">
        <v>0</v>
      </c>
      <c r="K486" s="2">
        <v>0</v>
      </c>
      <c r="L486" s="2">
        <f>100*D486*30</f>
        <v>192000</v>
      </c>
      <c r="M486" s="3">
        <f>140*D486</f>
        <v>8960</v>
      </c>
      <c r="N486" s="2"/>
    </row>
    <row r="487" spans="1:14" ht="12.75">
      <c r="A487" s="342"/>
      <c r="B487" s="337"/>
      <c r="C487" s="2" t="s">
        <v>51</v>
      </c>
      <c r="D487" s="2">
        <v>20</v>
      </c>
      <c r="E487" s="2">
        <f>20*D487*30</f>
        <v>12000</v>
      </c>
      <c r="F487" s="2">
        <f>5*D487*30</f>
        <v>3000</v>
      </c>
      <c r="G487" s="2">
        <f>4*D487*30</f>
        <v>2400</v>
      </c>
      <c r="H487" s="2">
        <v>0</v>
      </c>
      <c r="I487" s="2">
        <v>0</v>
      </c>
      <c r="J487" s="6">
        <v>0</v>
      </c>
      <c r="K487" s="2">
        <v>0</v>
      </c>
      <c r="L487" s="2">
        <f>100*D487*30</f>
        <v>60000</v>
      </c>
      <c r="M487" s="3">
        <f>140*D487</f>
        <v>2800</v>
      </c>
      <c r="N487" s="2"/>
    </row>
    <row r="488" spans="1:14" ht="12.75">
      <c r="A488" s="342"/>
      <c r="B488" s="337"/>
      <c r="C488" s="2" t="s">
        <v>30</v>
      </c>
      <c r="D488" s="2">
        <v>10</v>
      </c>
      <c r="E488" s="3">
        <f>3*D488</f>
        <v>30</v>
      </c>
      <c r="F488" s="2">
        <v>0</v>
      </c>
      <c r="G488" s="2">
        <f>6*D488</f>
        <v>60</v>
      </c>
      <c r="H488" s="2">
        <f>10*D488</f>
        <v>100</v>
      </c>
      <c r="I488" s="2">
        <v>0</v>
      </c>
      <c r="J488" s="6">
        <v>0</v>
      </c>
      <c r="K488" s="2">
        <f>170*D488</f>
        <v>1700</v>
      </c>
      <c r="L488" s="2">
        <f aca="true" t="shared" si="73" ref="L488:L493">18*D488*30</f>
        <v>5400</v>
      </c>
      <c r="M488" s="3">
        <f>60*10</f>
        <v>600</v>
      </c>
      <c r="N488" s="2"/>
    </row>
    <row r="489" spans="1:14" ht="12.75">
      <c r="A489" s="342"/>
      <c r="B489" s="337"/>
      <c r="C489" s="2" t="s">
        <v>32</v>
      </c>
      <c r="D489" s="2">
        <v>2</v>
      </c>
      <c r="E489" s="2">
        <f>14*D489</f>
        <v>28</v>
      </c>
      <c r="F489" s="2">
        <v>0</v>
      </c>
      <c r="G489" s="2">
        <f>9*D489</f>
        <v>18</v>
      </c>
      <c r="H489" s="2">
        <f>45*D489</f>
        <v>90</v>
      </c>
      <c r="I489" s="2">
        <v>0</v>
      </c>
      <c r="J489" s="6">
        <v>0</v>
      </c>
      <c r="K489" s="2">
        <f>90*D489</f>
        <v>180</v>
      </c>
      <c r="L489" s="2">
        <f t="shared" si="73"/>
        <v>1080</v>
      </c>
      <c r="M489" s="3">
        <f>75+1.5*30*D489</f>
        <v>165</v>
      </c>
      <c r="N489" s="2"/>
    </row>
    <row r="490" spans="1:14" ht="12.75">
      <c r="A490" s="342"/>
      <c r="B490" s="337"/>
      <c r="C490" s="2" t="s">
        <v>34</v>
      </c>
      <c r="D490" s="2">
        <v>2</v>
      </c>
      <c r="E490" s="2">
        <f>15*D490</f>
        <v>30</v>
      </c>
      <c r="F490" s="2">
        <v>0</v>
      </c>
      <c r="G490" s="2">
        <f>13*D490</f>
        <v>26</v>
      </c>
      <c r="H490" s="2">
        <f>72*D490</f>
        <v>144</v>
      </c>
      <c r="I490" s="2">
        <v>0</v>
      </c>
      <c r="J490" s="6">
        <v>0</v>
      </c>
      <c r="K490" s="2">
        <v>0</v>
      </c>
      <c r="L490" s="2">
        <f t="shared" si="73"/>
        <v>1080</v>
      </c>
      <c r="M490" s="2">
        <f>1.5*30*D490</f>
        <v>90</v>
      </c>
      <c r="N490" s="2"/>
    </row>
    <row r="491" spans="1:14" ht="12.75">
      <c r="A491" s="342"/>
      <c r="B491" s="337"/>
      <c r="C491" s="2" t="s">
        <v>37</v>
      </c>
      <c r="D491" s="2">
        <v>2</v>
      </c>
      <c r="E491" s="2">
        <f>21*D491</f>
        <v>42</v>
      </c>
      <c r="F491" s="3">
        <v>0</v>
      </c>
      <c r="G491" s="2">
        <f>21*D491</f>
        <v>42</v>
      </c>
      <c r="H491" s="2">
        <f>80*D491</f>
        <v>160</v>
      </c>
      <c r="I491" s="3">
        <v>0</v>
      </c>
      <c r="J491" s="6">
        <v>0</v>
      </c>
      <c r="K491" s="3">
        <v>0</v>
      </c>
      <c r="L491" s="2">
        <f t="shared" si="73"/>
        <v>1080</v>
      </c>
      <c r="M491" s="2">
        <f>1.5*30*D491</f>
        <v>90</v>
      </c>
      <c r="N491" s="2"/>
    </row>
    <row r="492" spans="1:14" ht="12.75">
      <c r="A492" s="342"/>
      <c r="B492" s="337"/>
      <c r="C492" s="2" t="s">
        <v>39</v>
      </c>
      <c r="D492" s="2">
        <v>2</v>
      </c>
      <c r="E492" s="2">
        <f>24*D492</f>
        <v>48</v>
      </c>
      <c r="F492" s="2">
        <f>20*D492</f>
        <v>40</v>
      </c>
      <c r="G492" s="2">
        <f>25*D492</f>
        <v>50</v>
      </c>
      <c r="H492" s="2">
        <f>83*D492</f>
        <v>166</v>
      </c>
      <c r="I492" s="2">
        <v>0</v>
      </c>
      <c r="J492" s="6">
        <v>0</v>
      </c>
      <c r="K492" s="2">
        <v>0</v>
      </c>
      <c r="L492" s="2">
        <f t="shared" si="73"/>
        <v>1080</v>
      </c>
      <c r="M492" s="2">
        <f>1.5*30*D492</f>
        <v>90</v>
      </c>
      <c r="N492" s="2"/>
    </row>
    <row r="493" spans="1:14" ht="12.75">
      <c r="A493" s="342"/>
      <c r="B493" s="337"/>
      <c r="C493" s="2" t="s">
        <v>42</v>
      </c>
      <c r="D493" s="2">
        <v>2</v>
      </c>
      <c r="E493" s="2">
        <f>58*D493</f>
        <v>116</v>
      </c>
      <c r="F493" s="2">
        <f>44*D493</f>
        <v>88</v>
      </c>
      <c r="G493" s="2">
        <f>135*D493</f>
        <v>270</v>
      </c>
      <c r="H493" s="2">
        <f>78*D493</f>
        <v>156</v>
      </c>
      <c r="I493" s="2">
        <v>0</v>
      </c>
      <c r="J493" s="6">
        <v>0</v>
      </c>
      <c r="K493" s="2">
        <v>0</v>
      </c>
      <c r="L493" s="2">
        <f t="shared" si="73"/>
        <v>1080</v>
      </c>
      <c r="M493" s="2">
        <f>1.5*30*D493</f>
        <v>90</v>
      </c>
      <c r="N493" s="2"/>
    </row>
    <row r="494" spans="1:14" ht="12.75">
      <c r="A494" s="342"/>
      <c r="B494" s="337"/>
      <c r="C494" s="2" t="s">
        <v>48</v>
      </c>
      <c r="D494" s="2">
        <v>6</v>
      </c>
      <c r="E494" s="2">
        <f>165*D494</f>
        <v>990</v>
      </c>
      <c r="F494" s="2">
        <f>105*D494</f>
        <v>630</v>
      </c>
      <c r="G494" s="2">
        <f>45*D494</f>
        <v>270</v>
      </c>
      <c r="H494" s="2">
        <v>0</v>
      </c>
      <c r="I494" s="2">
        <f>75*D494</f>
        <v>450</v>
      </c>
      <c r="J494" s="6">
        <v>0</v>
      </c>
      <c r="K494" s="2">
        <v>0</v>
      </c>
      <c r="L494" s="2">
        <f>24*D494*30</f>
        <v>4320</v>
      </c>
      <c r="M494" s="2">
        <f aca="true" t="shared" si="74" ref="M494:M499">3*30*D494</f>
        <v>540</v>
      </c>
      <c r="N494" s="2"/>
    </row>
    <row r="495" spans="1:14" ht="12.75">
      <c r="A495" s="342"/>
      <c r="B495" s="337"/>
      <c r="C495" s="2" t="s">
        <v>52</v>
      </c>
      <c r="D495" s="2">
        <v>4</v>
      </c>
      <c r="E495" s="2">
        <f>195*D495</f>
        <v>780</v>
      </c>
      <c r="F495" s="2">
        <f>150*D495</f>
        <v>600</v>
      </c>
      <c r="G495" s="2">
        <f>135*D495</f>
        <v>540</v>
      </c>
      <c r="H495" s="2">
        <v>0</v>
      </c>
      <c r="I495" s="2">
        <f>60*D495</f>
        <v>240</v>
      </c>
      <c r="J495" s="6">
        <v>0</v>
      </c>
      <c r="K495" s="2">
        <v>0</v>
      </c>
      <c r="L495" s="2">
        <f>24*D495*30</f>
        <v>2880</v>
      </c>
      <c r="M495" s="2">
        <f t="shared" si="74"/>
        <v>360</v>
      </c>
      <c r="N495" s="2"/>
    </row>
    <row r="496" spans="1:14" ht="12.75">
      <c r="A496" s="342"/>
      <c r="B496" s="337"/>
      <c r="C496" s="2" t="s">
        <v>55</v>
      </c>
      <c r="D496" s="2">
        <v>4</v>
      </c>
      <c r="E496" s="2">
        <f>240*D496</f>
        <v>960</v>
      </c>
      <c r="F496" s="2">
        <f>195*D496</f>
        <v>780</v>
      </c>
      <c r="G496" s="2">
        <f>45*D496</f>
        <v>180</v>
      </c>
      <c r="H496" s="2">
        <v>0</v>
      </c>
      <c r="I496" s="2">
        <f>60*D496</f>
        <v>240</v>
      </c>
      <c r="J496" s="6">
        <v>0</v>
      </c>
      <c r="K496" s="2">
        <v>0</v>
      </c>
      <c r="L496" s="2">
        <f>30*D496*30</f>
        <v>3600</v>
      </c>
      <c r="M496" s="2">
        <f t="shared" si="74"/>
        <v>360</v>
      </c>
      <c r="N496" s="2"/>
    </row>
    <row r="497" spans="1:14" ht="12.75">
      <c r="A497" s="342"/>
      <c r="B497" s="337"/>
      <c r="C497" s="2" t="s">
        <v>59</v>
      </c>
      <c r="D497" s="2">
        <v>6</v>
      </c>
      <c r="E497" s="2">
        <f>255*D497</f>
        <v>1530</v>
      </c>
      <c r="F497" s="2">
        <f>210*D497</f>
        <v>1260</v>
      </c>
      <c r="G497" s="2">
        <f>60*D497</f>
        <v>360</v>
      </c>
      <c r="H497" s="2">
        <v>0</v>
      </c>
      <c r="I497" s="2">
        <f>51*D497</f>
        <v>306</v>
      </c>
      <c r="J497" s="6">
        <v>0</v>
      </c>
      <c r="K497" s="2">
        <v>0</v>
      </c>
      <c r="L497" s="2">
        <f>35*D497*30</f>
        <v>6300</v>
      </c>
      <c r="M497" s="2">
        <f t="shared" si="74"/>
        <v>540</v>
      </c>
      <c r="N497" s="2"/>
    </row>
    <row r="498" spans="1:14" ht="12.75">
      <c r="A498" s="342"/>
      <c r="B498" s="337"/>
      <c r="C498" s="2" t="s">
        <v>65</v>
      </c>
      <c r="D498" s="2">
        <v>6</v>
      </c>
      <c r="E498" s="2">
        <f>270*D498</f>
        <v>1620</v>
      </c>
      <c r="F498" s="2">
        <f>220*D498</f>
        <v>1320</v>
      </c>
      <c r="G498" s="2">
        <f>60*D498</f>
        <v>360</v>
      </c>
      <c r="H498" s="2">
        <v>0</v>
      </c>
      <c r="I498" s="2">
        <f>56*D498</f>
        <v>336</v>
      </c>
      <c r="J498" s="6">
        <v>0</v>
      </c>
      <c r="K498" s="2">
        <v>0</v>
      </c>
      <c r="L498" s="2">
        <f>40*D498*30</f>
        <v>7200</v>
      </c>
      <c r="M498" s="2">
        <f t="shared" si="74"/>
        <v>540</v>
      </c>
      <c r="N498" s="2"/>
    </row>
    <row r="499" spans="1:14" ht="12.75">
      <c r="A499" s="342"/>
      <c r="B499" s="337"/>
      <c r="C499" s="2" t="s">
        <v>70</v>
      </c>
      <c r="D499" s="2">
        <v>4</v>
      </c>
      <c r="E499" s="2">
        <f>270*D499</f>
        <v>1080</v>
      </c>
      <c r="F499" s="2">
        <f>220*D499</f>
        <v>880</v>
      </c>
      <c r="G499" s="2">
        <f>75*D499</f>
        <v>300</v>
      </c>
      <c r="H499" s="2">
        <v>0</v>
      </c>
      <c r="I499" s="2">
        <f>60*D499</f>
        <v>240</v>
      </c>
      <c r="J499" s="6">
        <v>0</v>
      </c>
      <c r="K499" s="2">
        <v>0</v>
      </c>
      <c r="L499" s="2">
        <f>40*D499*30</f>
        <v>4800</v>
      </c>
      <c r="M499" s="2">
        <f t="shared" si="74"/>
        <v>360</v>
      </c>
      <c r="N499" s="2"/>
    </row>
    <row r="500" spans="1:14" ht="12.75">
      <c r="A500" s="342"/>
      <c r="B500" s="337"/>
      <c r="C500" s="2" t="s">
        <v>83</v>
      </c>
      <c r="D500" s="2">
        <v>0</v>
      </c>
      <c r="E500" s="2">
        <f>255*D500</f>
        <v>0</v>
      </c>
      <c r="F500" s="2">
        <f>210*D500</f>
        <v>0</v>
      </c>
      <c r="G500" s="2">
        <f>60*D500</f>
        <v>0</v>
      </c>
      <c r="H500" s="2">
        <v>0</v>
      </c>
      <c r="I500" s="2">
        <v>0</v>
      </c>
      <c r="J500" s="6">
        <f>2*D500</f>
        <v>0</v>
      </c>
      <c r="K500" s="2">
        <v>0</v>
      </c>
      <c r="L500" s="2">
        <f>40*D500*30</f>
        <v>0</v>
      </c>
      <c r="M500" s="2">
        <f>120*D500</f>
        <v>0</v>
      </c>
      <c r="N500" s="2"/>
    </row>
    <row r="501" spans="1:15" ht="12.75">
      <c r="A501" s="343"/>
      <c r="B501" s="332" t="s">
        <v>69</v>
      </c>
      <c r="C501" s="333"/>
      <c r="D501" s="4">
        <f>SUM(D485:D500)</f>
        <v>166</v>
      </c>
      <c r="E501" s="4">
        <f aca="true" t="shared" si="75" ref="E501:M501">SUM(E485:E500)</f>
        <v>67254</v>
      </c>
      <c r="F501" s="4">
        <f t="shared" si="75"/>
        <v>61398</v>
      </c>
      <c r="G501" s="4">
        <f t="shared" si="75"/>
        <v>10636</v>
      </c>
      <c r="H501" s="4">
        <f t="shared" si="75"/>
        <v>816</v>
      </c>
      <c r="I501" s="4">
        <f t="shared" si="75"/>
        <v>1812</v>
      </c>
      <c r="J501" s="6">
        <f t="shared" si="75"/>
        <v>0</v>
      </c>
      <c r="K501" s="4">
        <f t="shared" si="75"/>
        <v>1880</v>
      </c>
      <c r="L501" s="4">
        <f t="shared" si="75"/>
        <v>387900</v>
      </c>
      <c r="M501" s="4">
        <f t="shared" si="75"/>
        <v>20065</v>
      </c>
      <c r="N501" s="4">
        <f>40*10+150*2+5*10*14+M501</f>
        <v>21465</v>
      </c>
      <c r="O501" s="12"/>
    </row>
    <row r="502" spans="1:14" ht="12.75">
      <c r="A502" s="341">
        <v>4</v>
      </c>
      <c r="B502" s="337">
        <v>7</v>
      </c>
      <c r="C502" s="2" t="s">
        <v>29</v>
      </c>
      <c r="D502" s="2">
        <v>32</v>
      </c>
      <c r="E502" s="3">
        <f>20*D502*30</f>
        <v>19200</v>
      </c>
      <c r="F502" s="2">
        <f>15*D502*30</f>
        <v>14400</v>
      </c>
      <c r="G502" s="2">
        <f>2*D502*30</f>
        <v>1920</v>
      </c>
      <c r="H502" s="3">
        <v>0</v>
      </c>
      <c r="I502" s="2">
        <v>0</v>
      </c>
      <c r="J502" s="6">
        <v>0</v>
      </c>
      <c r="K502" s="3">
        <v>0</v>
      </c>
      <c r="L502" s="2">
        <f>100*D502*30</f>
        <v>96000</v>
      </c>
      <c r="M502" s="3">
        <f>140*D502</f>
        <v>4480</v>
      </c>
      <c r="N502" s="2"/>
    </row>
    <row r="503" spans="1:14" ht="12.75">
      <c r="A503" s="342"/>
      <c r="B503" s="337"/>
      <c r="C503" s="2" t="s">
        <v>36</v>
      </c>
      <c r="D503" s="2">
        <v>64</v>
      </c>
      <c r="E503" s="2">
        <f>15*D503*30</f>
        <v>28800</v>
      </c>
      <c r="F503" s="2">
        <f>20*D503*30</f>
        <v>38400</v>
      </c>
      <c r="G503" s="2">
        <f>2*D503*30</f>
        <v>3840</v>
      </c>
      <c r="H503" s="2">
        <v>0</v>
      </c>
      <c r="I503" s="2">
        <v>0</v>
      </c>
      <c r="J503" s="6">
        <v>0</v>
      </c>
      <c r="K503" s="2">
        <v>0</v>
      </c>
      <c r="L503" s="2">
        <f>100*D503*30</f>
        <v>192000</v>
      </c>
      <c r="M503" s="3">
        <f>140*D503</f>
        <v>8960</v>
      </c>
      <c r="N503" s="2"/>
    </row>
    <row r="504" spans="1:14" ht="12.75">
      <c r="A504" s="342"/>
      <c r="B504" s="337"/>
      <c r="C504" s="2" t="s">
        <v>51</v>
      </c>
      <c r="D504" s="2">
        <v>20</v>
      </c>
      <c r="E504" s="2">
        <f>20*D504*30</f>
        <v>12000</v>
      </c>
      <c r="F504" s="2">
        <f>5*D504*30</f>
        <v>3000</v>
      </c>
      <c r="G504" s="2">
        <f>4*D504*30</f>
        <v>2400</v>
      </c>
      <c r="H504" s="2">
        <v>0</v>
      </c>
      <c r="I504" s="2">
        <v>0</v>
      </c>
      <c r="J504" s="6">
        <v>0</v>
      </c>
      <c r="K504" s="2">
        <v>0</v>
      </c>
      <c r="L504" s="2">
        <f>100*D504*30</f>
        <v>60000</v>
      </c>
      <c r="M504" s="3">
        <f>140*D504</f>
        <v>2800</v>
      </c>
      <c r="N504" s="2"/>
    </row>
    <row r="505" spans="1:14" ht="12.75">
      <c r="A505" s="342"/>
      <c r="B505" s="337"/>
      <c r="C505" s="2" t="s">
        <v>30</v>
      </c>
      <c r="D505" s="2">
        <v>10</v>
      </c>
      <c r="E505" s="3">
        <f>3*D505</f>
        <v>30</v>
      </c>
      <c r="F505" s="2">
        <v>0</v>
      </c>
      <c r="G505" s="2">
        <f>6*D505</f>
        <v>60</v>
      </c>
      <c r="H505" s="2">
        <f>10*D505</f>
        <v>100</v>
      </c>
      <c r="I505" s="2">
        <v>0</v>
      </c>
      <c r="J505" s="6">
        <v>0</v>
      </c>
      <c r="K505" s="2">
        <f>170*D505</f>
        <v>1700</v>
      </c>
      <c r="L505" s="2">
        <f aca="true" t="shared" si="76" ref="L505:L510">18*D505*30</f>
        <v>5400</v>
      </c>
      <c r="M505" s="3">
        <f>60*10</f>
        <v>600</v>
      </c>
      <c r="N505" s="2"/>
    </row>
    <row r="506" spans="1:14" ht="12.75">
      <c r="A506" s="342"/>
      <c r="B506" s="337"/>
      <c r="C506" s="2" t="s">
        <v>32</v>
      </c>
      <c r="D506" s="2">
        <v>2</v>
      </c>
      <c r="E506" s="2">
        <f>14*D506</f>
        <v>28</v>
      </c>
      <c r="F506" s="2">
        <v>0</v>
      </c>
      <c r="G506" s="2">
        <f>9*D506</f>
        <v>18</v>
      </c>
      <c r="H506" s="2">
        <f>45*D506</f>
        <v>90</v>
      </c>
      <c r="I506" s="2">
        <v>0</v>
      </c>
      <c r="J506" s="6">
        <v>0</v>
      </c>
      <c r="K506" s="2">
        <f>90*D506</f>
        <v>180</v>
      </c>
      <c r="L506" s="2">
        <f t="shared" si="76"/>
        <v>1080</v>
      </c>
      <c r="M506" s="3">
        <f>75+1.5*30*D506</f>
        <v>165</v>
      </c>
      <c r="N506" s="2"/>
    </row>
    <row r="507" spans="1:14" ht="12.75">
      <c r="A507" s="342"/>
      <c r="B507" s="337"/>
      <c r="C507" s="2" t="s">
        <v>34</v>
      </c>
      <c r="D507" s="2">
        <v>2</v>
      </c>
      <c r="E507" s="2">
        <f>15*D507</f>
        <v>30</v>
      </c>
      <c r="F507" s="2">
        <v>0</v>
      </c>
      <c r="G507" s="2">
        <f>13*D507</f>
        <v>26</v>
      </c>
      <c r="H507" s="2">
        <f>72*D507</f>
        <v>144</v>
      </c>
      <c r="I507" s="2">
        <v>0</v>
      </c>
      <c r="J507" s="6">
        <v>0</v>
      </c>
      <c r="K507" s="2">
        <v>0</v>
      </c>
      <c r="L507" s="2">
        <f t="shared" si="76"/>
        <v>1080</v>
      </c>
      <c r="M507" s="2">
        <f>100+1.5*30*D507</f>
        <v>190</v>
      </c>
      <c r="N507" s="2"/>
    </row>
    <row r="508" spans="1:14" ht="12.75">
      <c r="A508" s="342"/>
      <c r="B508" s="337"/>
      <c r="C508" s="2" t="s">
        <v>37</v>
      </c>
      <c r="D508" s="2">
        <v>2</v>
      </c>
      <c r="E508" s="2">
        <f>21*D508</f>
        <v>42</v>
      </c>
      <c r="F508" s="3">
        <v>0</v>
      </c>
      <c r="G508" s="2">
        <f>21*D508</f>
        <v>42</v>
      </c>
      <c r="H508" s="2">
        <f>80*D508</f>
        <v>160</v>
      </c>
      <c r="I508" s="3">
        <v>0</v>
      </c>
      <c r="J508" s="6">
        <v>0</v>
      </c>
      <c r="K508" s="3">
        <v>0</v>
      </c>
      <c r="L508" s="2">
        <f t="shared" si="76"/>
        <v>1080</v>
      </c>
      <c r="M508" s="2">
        <f>1.5*30*D508</f>
        <v>90</v>
      </c>
      <c r="N508" s="2"/>
    </row>
    <row r="509" spans="1:14" ht="12.75">
      <c r="A509" s="342"/>
      <c r="B509" s="337"/>
      <c r="C509" s="2" t="s">
        <v>39</v>
      </c>
      <c r="D509" s="2">
        <v>2</v>
      </c>
      <c r="E509" s="2">
        <f>24*D509</f>
        <v>48</v>
      </c>
      <c r="F509" s="2">
        <f>20*D509</f>
        <v>40</v>
      </c>
      <c r="G509" s="2">
        <f>25*D509</f>
        <v>50</v>
      </c>
      <c r="H509" s="2">
        <f>83*D509</f>
        <v>166</v>
      </c>
      <c r="I509" s="2">
        <v>0</v>
      </c>
      <c r="J509" s="6">
        <v>0</v>
      </c>
      <c r="K509" s="2">
        <v>0</v>
      </c>
      <c r="L509" s="2">
        <f t="shared" si="76"/>
        <v>1080</v>
      </c>
      <c r="M509" s="2">
        <f>1.5*30*D509</f>
        <v>90</v>
      </c>
      <c r="N509" s="2"/>
    </row>
    <row r="510" spans="1:14" ht="12.75">
      <c r="A510" s="342"/>
      <c r="B510" s="337"/>
      <c r="C510" s="2" t="s">
        <v>42</v>
      </c>
      <c r="D510" s="2">
        <v>2</v>
      </c>
      <c r="E510" s="2">
        <f>58*D510</f>
        <v>116</v>
      </c>
      <c r="F510" s="2">
        <f>44*D510</f>
        <v>88</v>
      </c>
      <c r="G510" s="2">
        <f>135*D510</f>
        <v>270</v>
      </c>
      <c r="H510" s="2">
        <f>78*D510</f>
        <v>156</v>
      </c>
      <c r="I510" s="2">
        <v>0</v>
      </c>
      <c r="J510" s="6">
        <v>0</v>
      </c>
      <c r="K510" s="2">
        <v>0</v>
      </c>
      <c r="L510" s="2">
        <f t="shared" si="76"/>
        <v>1080</v>
      </c>
      <c r="M510" s="2">
        <f>1.5*30*D510</f>
        <v>90</v>
      </c>
      <c r="N510" s="2"/>
    </row>
    <row r="511" spans="1:14" ht="12.75">
      <c r="A511" s="342"/>
      <c r="B511" s="337"/>
      <c r="C511" s="2" t="s">
        <v>48</v>
      </c>
      <c r="D511" s="2">
        <v>6</v>
      </c>
      <c r="E511" s="2">
        <f>165*D511</f>
        <v>990</v>
      </c>
      <c r="F511" s="2">
        <f>105*D511</f>
        <v>630</v>
      </c>
      <c r="G511" s="2">
        <f>45*D511</f>
        <v>270</v>
      </c>
      <c r="H511" s="2">
        <v>0</v>
      </c>
      <c r="I511" s="2">
        <f>75*D511</f>
        <v>450</v>
      </c>
      <c r="J511" s="6">
        <v>0</v>
      </c>
      <c r="K511" s="2">
        <v>0</v>
      </c>
      <c r="L511" s="2">
        <f>24*D511*30</f>
        <v>4320</v>
      </c>
      <c r="M511" s="2">
        <f aca="true" t="shared" si="77" ref="M511:M516">3*30*D511</f>
        <v>540</v>
      </c>
      <c r="N511" s="2"/>
    </row>
    <row r="512" spans="1:14" ht="12.75">
      <c r="A512" s="342"/>
      <c r="B512" s="337"/>
      <c r="C512" s="2" t="s">
        <v>52</v>
      </c>
      <c r="D512" s="2">
        <v>6</v>
      </c>
      <c r="E512" s="2">
        <f>195*D512</f>
        <v>1170</v>
      </c>
      <c r="F512" s="2">
        <f>150*D512</f>
        <v>900</v>
      </c>
      <c r="G512" s="2">
        <f>135*D512</f>
        <v>810</v>
      </c>
      <c r="H512" s="2">
        <v>0</v>
      </c>
      <c r="I512" s="2">
        <f>60*D512</f>
        <v>360</v>
      </c>
      <c r="J512" s="6">
        <v>0</v>
      </c>
      <c r="K512" s="2">
        <v>0</v>
      </c>
      <c r="L512" s="2">
        <f>24*D512*30</f>
        <v>4320</v>
      </c>
      <c r="M512" s="2">
        <f t="shared" si="77"/>
        <v>540</v>
      </c>
      <c r="N512" s="2"/>
    </row>
    <row r="513" spans="1:14" ht="12.75">
      <c r="A513" s="342"/>
      <c r="B513" s="337"/>
      <c r="C513" s="2" t="s">
        <v>55</v>
      </c>
      <c r="D513" s="2">
        <v>2</v>
      </c>
      <c r="E513" s="2">
        <f>240*D513</f>
        <v>480</v>
      </c>
      <c r="F513" s="2">
        <f>195*D513</f>
        <v>390</v>
      </c>
      <c r="G513" s="2">
        <f>45*D513</f>
        <v>90</v>
      </c>
      <c r="H513" s="2">
        <v>0</v>
      </c>
      <c r="I513" s="2">
        <f>60*D513</f>
        <v>120</v>
      </c>
      <c r="J513" s="6">
        <v>0</v>
      </c>
      <c r="K513" s="2">
        <v>0</v>
      </c>
      <c r="L513" s="2">
        <f>30*D513*30</f>
        <v>1800</v>
      </c>
      <c r="M513" s="2">
        <f t="shared" si="77"/>
        <v>180</v>
      </c>
      <c r="N513" s="2"/>
    </row>
    <row r="514" spans="1:14" ht="12.75">
      <c r="A514" s="342"/>
      <c r="B514" s="337"/>
      <c r="C514" s="2" t="s">
        <v>59</v>
      </c>
      <c r="D514" s="2">
        <v>6</v>
      </c>
      <c r="E514" s="2">
        <f>255*D514</f>
        <v>1530</v>
      </c>
      <c r="F514" s="2">
        <f>210*D514</f>
        <v>1260</v>
      </c>
      <c r="G514" s="2">
        <f>60*D514</f>
        <v>360</v>
      </c>
      <c r="H514" s="2">
        <v>0</v>
      </c>
      <c r="I514" s="2">
        <f>51*D514</f>
        <v>306</v>
      </c>
      <c r="J514" s="6">
        <v>0</v>
      </c>
      <c r="K514" s="2">
        <v>0</v>
      </c>
      <c r="L514" s="2">
        <f>35*D514*30</f>
        <v>6300</v>
      </c>
      <c r="M514" s="2">
        <f t="shared" si="77"/>
        <v>540</v>
      </c>
      <c r="N514" s="2"/>
    </row>
    <row r="515" spans="1:14" ht="12.75">
      <c r="A515" s="342"/>
      <c r="B515" s="337"/>
      <c r="C515" s="2" t="s">
        <v>65</v>
      </c>
      <c r="D515" s="2">
        <v>6</v>
      </c>
      <c r="E515" s="2">
        <f>270*D515</f>
        <v>1620</v>
      </c>
      <c r="F515" s="2">
        <f>220*D515</f>
        <v>1320</v>
      </c>
      <c r="G515" s="2">
        <f>60*D515</f>
        <v>360</v>
      </c>
      <c r="H515" s="2">
        <v>0</v>
      </c>
      <c r="I515" s="2">
        <f>56*D515</f>
        <v>336</v>
      </c>
      <c r="J515" s="6">
        <v>0</v>
      </c>
      <c r="K515" s="2">
        <v>0</v>
      </c>
      <c r="L515" s="2">
        <f>40*D515*30</f>
        <v>7200</v>
      </c>
      <c r="M515" s="2">
        <f t="shared" si="77"/>
        <v>540</v>
      </c>
      <c r="N515" s="2"/>
    </row>
    <row r="516" spans="1:14" ht="12.75">
      <c r="A516" s="342"/>
      <c r="B516" s="337"/>
      <c r="C516" s="2" t="s">
        <v>70</v>
      </c>
      <c r="D516" s="2">
        <v>6</v>
      </c>
      <c r="E516" s="2">
        <f>270*D516</f>
        <v>1620</v>
      </c>
      <c r="F516" s="2">
        <f>220*D516</f>
        <v>1320</v>
      </c>
      <c r="G516" s="2">
        <f>75*D516</f>
        <v>450</v>
      </c>
      <c r="H516" s="2">
        <v>0</v>
      </c>
      <c r="I516" s="2">
        <f>60*D516</f>
        <v>360</v>
      </c>
      <c r="J516" s="6">
        <v>0</v>
      </c>
      <c r="K516" s="2">
        <v>0</v>
      </c>
      <c r="L516" s="2">
        <f>40*D516*30</f>
        <v>7200</v>
      </c>
      <c r="M516" s="2">
        <f t="shared" si="77"/>
        <v>540</v>
      </c>
      <c r="N516" s="2"/>
    </row>
    <row r="517" spans="1:14" ht="12.75">
      <c r="A517" s="342"/>
      <c r="B517" s="337"/>
      <c r="C517" s="2" t="s">
        <v>83</v>
      </c>
      <c r="D517" s="2">
        <v>0</v>
      </c>
      <c r="E517" s="2">
        <f>255*D517</f>
        <v>0</v>
      </c>
      <c r="F517" s="2">
        <f>210*D517</f>
        <v>0</v>
      </c>
      <c r="G517" s="2">
        <f>60*D517</f>
        <v>0</v>
      </c>
      <c r="H517" s="2">
        <v>0</v>
      </c>
      <c r="I517" s="2">
        <v>0</v>
      </c>
      <c r="J517" s="6">
        <f>2*D517</f>
        <v>0</v>
      </c>
      <c r="K517" s="2">
        <v>0</v>
      </c>
      <c r="L517" s="2">
        <f>40*D517*30</f>
        <v>0</v>
      </c>
      <c r="M517" s="2">
        <f>120*D517</f>
        <v>0</v>
      </c>
      <c r="N517" s="2"/>
    </row>
    <row r="518" spans="1:15" ht="12.75">
      <c r="A518" s="342"/>
      <c r="B518" s="332" t="s">
        <v>71</v>
      </c>
      <c r="C518" s="333"/>
      <c r="D518" s="4">
        <f>SUM(D502:D517)</f>
        <v>168</v>
      </c>
      <c r="E518" s="4">
        <f aca="true" t="shared" si="78" ref="E518:M518">SUM(E502:E517)</f>
        <v>67704</v>
      </c>
      <c r="F518" s="4">
        <f t="shared" si="78"/>
        <v>61748</v>
      </c>
      <c r="G518" s="4">
        <f t="shared" si="78"/>
        <v>10966</v>
      </c>
      <c r="H518" s="4">
        <f t="shared" si="78"/>
        <v>816</v>
      </c>
      <c r="I518" s="4">
        <f t="shared" si="78"/>
        <v>1932</v>
      </c>
      <c r="J518" s="6">
        <f t="shared" si="78"/>
        <v>0</v>
      </c>
      <c r="K518" s="4">
        <f t="shared" si="78"/>
        <v>1880</v>
      </c>
      <c r="L518" s="4">
        <f t="shared" si="78"/>
        <v>389940</v>
      </c>
      <c r="M518" s="4">
        <f t="shared" si="78"/>
        <v>20345</v>
      </c>
      <c r="N518" s="4">
        <f>40*10+150*2+5*10*14+M518</f>
        <v>21745</v>
      </c>
      <c r="O518" s="12"/>
    </row>
    <row r="519" spans="1:14" ht="12.75">
      <c r="A519" s="342"/>
      <c r="B519" s="337">
        <v>8</v>
      </c>
      <c r="C519" s="2" t="s">
        <v>29</v>
      </c>
      <c r="D519" s="2">
        <v>32</v>
      </c>
      <c r="E519" s="3">
        <f>20*D519*30</f>
        <v>19200</v>
      </c>
      <c r="F519" s="2">
        <f>15*D519*30</f>
        <v>14400</v>
      </c>
      <c r="G519" s="2">
        <f>2*D519*30</f>
        <v>1920</v>
      </c>
      <c r="H519" s="3">
        <v>0</v>
      </c>
      <c r="I519" s="2">
        <v>0</v>
      </c>
      <c r="J519" s="6">
        <v>0</v>
      </c>
      <c r="K519" s="3">
        <v>0</v>
      </c>
      <c r="L519" s="2">
        <f>100*D519*30</f>
        <v>96000</v>
      </c>
      <c r="M519" s="3">
        <f>140*D519</f>
        <v>4480</v>
      </c>
      <c r="N519" s="2"/>
    </row>
    <row r="520" spans="1:14" ht="12.75">
      <c r="A520" s="342"/>
      <c r="B520" s="337"/>
      <c r="C520" s="2" t="s">
        <v>36</v>
      </c>
      <c r="D520" s="2">
        <v>64</v>
      </c>
      <c r="E520" s="2">
        <f>15*D520*30</f>
        <v>28800</v>
      </c>
      <c r="F520" s="2">
        <f>20*D520*30</f>
        <v>38400</v>
      </c>
      <c r="G520" s="2">
        <f>2*D520*30</f>
        <v>3840</v>
      </c>
      <c r="H520" s="2">
        <v>0</v>
      </c>
      <c r="I520" s="2">
        <v>0</v>
      </c>
      <c r="J520" s="6">
        <v>0</v>
      </c>
      <c r="K520" s="2">
        <v>0</v>
      </c>
      <c r="L520" s="2">
        <f>100*D520*30</f>
        <v>192000</v>
      </c>
      <c r="M520" s="3">
        <f>140*D520</f>
        <v>8960</v>
      </c>
      <c r="N520" s="2"/>
    </row>
    <row r="521" spans="1:14" ht="12.75">
      <c r="A521" s="342"/>
      <c r="B521" s="337"/>
      <c r="C521" s="2" t="s">
        <v>51</v>
      </c>
      <c r="D521" s="2">
        <v>20</v>
      </c>
      <c r="E521" s="2">
        <f>20*D521*30</f>
        <v>12000</v>
      </c>
      <c r="F521" s="2">
        <f>5*D521*30</f>
        <v>3000</v>
      </c>
      <c r="G521" s="2">
        <f>4*D521*30</f>
        <v>2400</v>
      </c>
      <c r="H521" s="2">
        <v>0</v>
      </c>
      <c r="I521" s="2">
        <v>0</v>
      </c>
      <c r="J521" s="6">
        <v>0</v>
      </c>
      <c r="K521" s="2">
        <v>0</v>
      </c>
      <c r="L521" s="2">
        <f>100*D521*30</f>
        <v>60000</v>
      </c>
      <c r="M521" s="3">
        <f>140*D521</f>
        <v>2800</v>
      </c>
      <c r="N521" s="2"/>
    </row>
    <row r="522" spans="1:14" ht="12.75">
      <c r="A522" s="342"/>
      <c r="B522" s="337"/>
      <c r="C522" s="2" t="s">
        <v>30</v>
      </c>
      <c r="D522" s="2">
        <v>10</v>
      </c>
      <c r="E522" s="3">
        <f>3*D522</f>
        <v>30</v>
      </c>
      <c r="F522" s="2">
        <v>0</v>
      </c>
      <c r="G522" s="2">
        <f>6*D522</f>
        <v>60</v>
      </c>
      <c r="H522" s="2">
        <f>10*D522</f>
        <v>100</v>
      </c>
      <c r="I522" s="2">
        <v>0</v>
      </c>
      <c r="J522" s="6">
        <v>0</v>
      </c>
      <c r="K522" s="2">
        <f>170*D522</f>
        <v>1700</v>
      </c>
      <c r="L522" s="2">
        <f aca="true" t="shared" si="79" ref="L522:L527">18*D522*30</f>
        <v>5400</v>
      </c>
      <c r="M522" s="3">
        <f>60*10</f>
        <v>600</v>
      </c>
      <c r="N522" s="2"/>
    </row>
    <row r="523" spans="1:14" ht="12.75">
      <c r="A523" s="342"/>
      <c r="B523" s="337"/>
      <c r="C523" s="2" t="s">
        <v>32</v>
      </c>
      <c r="D523" s="2">
        <v>2</v>
      </c>
      <c r="E523" s="2">
        <f>14*D523</f>
        <v>28</v>
      </c>
      <c r="F523" s="2">
        <v>0</v>
      </c>
      <c r="G523" s="2">
        <f>9*D523</f>
        <v>18</v>
      </c>
      <c r="H523" s="2">
        <f>45*D523</f>
        <v>90</v>
      </c>
      <c r="I523" s="2">
        <v>0</v>
      </c>
      <c r="J523" s="6">
        <v>0</v>
      </c>
      <c r="K523" s="2">
        <f>90*D523</f>
        <v>180</v>
      </c>
      <c r="L523" s="2">
        <f t="shared" si="79"/>
        <v>1080</v>
      </c>
      <c r="M523" s="3">
        <f>75+1.5*30*D523</f>
        <v>165</v>
      </c>
      <c r="N523" s="2"/>
    </row>
    <row r="524" spans="1:14" ht="12.75">
      <c r="A524" s="342"/>
      <c r="B524" s="337"/>
      <c r="C524" s="2" t="s">
        <v>34</v>
      </c>
      <c r="D524" s="2">
        <v>2</v>
      </c>
      <c r="E524" s="2">
        <f>15*D524</f>
        <v>30</v>
      </c>
      <c r="F524" s="2">
        <v>0</v>
      </c>
      <c r="G524" s="2">
        <f>13*D524</f>
        <v>26</v>
      </c>
      <c r="H524" s="2">
        <f>72*D524</f>
        <v>144</v>
      </c>
      <c r="I524" s="2">
        <v>0</v>
      </c>
      <c r="J524" s="6">
        <v>0</v>
      </c>
      <c r="K524" s="2">
        <v>0</v>
      </c>
      <c r="L524" s="2">
        <f t="shared" si="79"/>
        <v>1080</v>
      </c>
      <c r="M524" s="2">
        <f>1.5*30*D524</f>
        <v>90</v>
      </c>
      <c r="N524" s="2"/>
    </row>
    <row r="525" spans="1:14" ht="12.75">
      <c r="A525" s="342"/>
      <c r="B525" s="337"/>
      <c r="C525" s="2" t="s">
        <v>37</v>
      </c>
      <c r="D525" s="2">
        <v>2</v>
      </c>
      <c r="E525" s="2">
        <f>21*D525</f>
        <v>42</v>
      </c>
      <c r="F525" s="3">
        <v>0</v>
      </c>
      <c r="G525" s="2">
        <f>21*D525</f>
        <v>42</v>
      </c>
      <c r="H525" s="2">
        <f>80*D525</f>
        <v>160</v>
      </c>
      <c r="I525" s="3">
        <v>0</v>
      </c>
      <c r="J525" s="6">
        <v>0</v>
      </c>
      <c r="K525" s="3">
        <v>0</v>
      </c>
      <c r="L525" s="2">
        <f t="shared" si="79"/>
        <v>1080</v>
      </c>
      <c r="M525" s="2">
        <f>1.5*30*D525</f>
        <v>90</v>
      </c>
      <c r="N525" s="2"/>
    </row>
    <row r="526" spans="1:14" ht="12.75">
      <c r="A526" s="342"/>
      <c r="B526" s="337"/>
      <c r="C526" s="2" t="s">
        <v>39</v>
      </c>
      <c r="D526" s="2">
        <v>2</v>
      </c>
      <c r="E526" s="2">
        <f>24*D526</f>
        <v>48</v>
      </c>
      <c r="F526" s="2">
        <f>20*D526</f>
        <v>40</v>
      </c>
      <c r="G526" s="2">
        <f>25*D526</f>
        <v>50</v>
      </c>
      <c r="H526" s="2">
        <f>83*D526</f>
        <v>166</v>
      </c>
      <c r="I526" s="2">
        <v>0</v>
      </c>
      <c r="J526" s="6">
        <v>0</v>
      </c>
      <c r="K526" s="2">
        <v>0</v>
      </c>
      <c r="L526" s="2">
        <f t="shared" si="79"/>
        <v>1080</v>
      </c>
      <c r="M526" s="2">
        <f>1.5*30*D526</f>
        <v>90</v>
      </c>
      <c r="N526" s="2"/>
    </row>
    <row r="527" spans="1:14" ht="12.75">
      <c r="A527" s="342"/>
      <c r="B527" s="337"/>
      <c r="C527" s="2" t="s">
        <v>42</v>
      </c>
      <c r="D527" s="2">
        <v>2</v>
      </c>
      <c r="E527" s="2">
        <f>58*D527</f>
        <v>116</v>
      </c>
      <c r="F527" s="2">
        <f>44*D527</f>
        <v>88</v>
      </c>
      <c r="G527" s="2">
        <f>135*D527</f>
        <v>270</v>
      </c>
      <c r="H527" s="2">
        <f>78*D527</f>
        <v>156</v>
      </c>
      <c r="I527" s="2">
        <v>0</v>
      </c>
      <c r="J527" s="6">
        <v>0</v>
      </c>
      <c r="K527" s="2">
        <v>0</v>
      </c>
      <c r="L527" s="2">
        <f t="shared" si="79"/>
        <v>1080</v>
      </c>
      <c r="M527" s="2">
        <f>1.5*30*D527</f>
        <v>90</v>
      </c>
      <c r="N527" s="2"/>
    </row>
    <row r="528" spans="1:14" ht="12.75">
      <c r="A528" s="342"/>
      <c r="B528" s="337"/>
      <c r="C528" s="2" t="s">
        <v>48</v>
      </c>
      <c r="D528" s="2">
        <v>6</v>
      </c>
      <c r="E528" s="2">
        <f>165*D528</f>
        <v>990</v>
      </c>
      <c r="F528" s="2">
        <f>105*D528</f>
        <v>630</v>
      </c>
      <c r="G528" s="2">
        <f>45*D528</f>
        <v>270</v>
      </c>
      <c r="H528" s="2">
        <v>0</v>
      </c>
      <c r="I528" s="2">
        <f>75*D528</f>
        <v>450</v>
      </c>
      <c r="J528" s="6">
        <v>0</v>
      </c>
      <c r="K528" s="2">
        <v>0</v>
      </c>
      <c r="L528" s="2">
        <f>24*D528*30</f>
        <v>4320</v>
      </c>
      <c r="M528" s="2">
        <f>3*30*D528</f>
        <v>540</v>
      </c>
      <c r="N528" s="2"/>
    </row>
    <row r="529" spans="1:14" ht="12.75">
      <c r="A529" s="342"/>
      <c r="B529" s="337"/>
      <c r="C529" s="2" t="s">
        <v>52</v>
      </c>
      <c r="D529" s="2">
        <v>6</v>
      </c>
      <c r="E529" s="2">
        <f>195*D529</f>
        <v>1170</v>
      </c>
      <c r="F529" s="2">
        <f>150*D529</f>
        <v>900</v>
      </c>
      <c r="G529" s="2">
        <f>135*D529</f>
        <v>810</v>
      </c>
      <c r="H529" s="2">
        <v>0</v>
      </c>
      <c r="I529" s="2">
        <f>60*D529</f>
        <v>360</v>
      </c>
      <c r="J529" s="6">
        <v>0</v>
      </c>
      <c r="K529" s="2">
        <v>0</v>
      </c>
      <c r="L529" s="2">
        <f>24*D529*30</f>
        <v>4320</v>
      </c>
      <c r="M529" s="2">
        <f>3*30*D529</f>
        <v>540</v>
      </c>
      <c r="N529" s="2"/>
    </row>
    <row r="530" spans="1:14" ht="12.75">
      <c r="A530" s="342"/>
      <c r="B530" s="337"/>
      <c r="C530" s="2" t="s">
        <v>55</v>
      </c>
      <c r="D530" s="2">
        <v>2</v>
      </c>
      <c r="E530" s="2">
        <f>240*D530</f>
        <v>480</v>
      </c>
      <c r="F530" s="2">
        <f>195*D530</f>
        <v>390</v>
      </c>
      <c r="G530" s="2">
        <f>45*D530</f>
        <v>90</v>
      </c>
      <c r="H530" s="2">
        <v>0</v>
      </c>
      <c r="I530" s="2">
        <f>60*D530</f>
        <v>120</v>
      </c>
      <c r="J530" s="6">
        <v>0</v>
      </c>
      <c r="K530" s="2">
        <v>0</v>
      </c>
      <c r="L530" s="2">
        <f>30*D530*30</f>
        <v>1800</v>
      </c>
      <c r="M530" s="2">
        <f>125+3*30*D530</f>
        <v>305</v>
      </c>
      <c r="N530" s="2"/>
    </row>
    <row r="531" spans="1:14" ht="12.75">
      <c r="A531" s="342"/>
      <c r="B531" s="337"/>
      <c r="C531" s="2" t="s">
        <v>59</v>
      </c>
      <c r="D531" s="2">
        <v>6</v>
      </c>
      <c r="E531" s="2">
        <f>255*D531</f>
        <v>1530</v>
      </c>
      <c r="F531" s="2">
        <f>210*D531</f>
        <v>1260</v>
      </c>
      <c r="G531" s="2">
        <f>60*D531</f>
        <v>360</v>
      </c>
      <c r="H531" s="2">
        <v>0</v>
      </c>
      <c r="I531" s="2">
        <f>51*D531</f>
        <v>306</v>
      </c>
      <c r="J531" s="6">
        <v>0</v>
      </c>
      <c r="K531" s="2">
        <v>0</v>
      </c>
      <c r="L531" s="2">
        <f>35*D531*30</f>
        <v>6300</v>
      </c>
      <c r="M531" s="2">
        <f>3*30*D531</f>
        <v>540</v>
      </c>
      <c r="N531" s="2"/>
    </row>
    <row r="532" spans="1:14" ht="12.75">
      <c r="A532" s="342"/>
      <c r="B532" s="337"/>
      <c r="C532" s="2" t="s">
        <v>65</v>
      </c>
      <c r="D532" s="2">
        <v>6</v>
      </c>
      <c r="E532" s="2">
        <f>270*D532</f>
        <v>1620</v>
      </c>
      <c r="F532" s="2">
        <f>220*D532</f>
        <v>1320</v>
      </c>
      <c r="G532" s="2">
        <f>60*D532</f>
        <v>360</v>
      </c>
      <c r="H532" s="2">
        <v>0</v>
      </c>
      <c r="I532" s="2">
        <f>56*D532</f>
        <v>336</v>
      </c>
      <c r="J532" s="6">
        <v>0</v>
      </c>
      <c r="K532" s="2">
        <v>0</v>
      </c>
      <c r="L532" s="2">
        <f>40*D532*30</f>
        <v>7200</v>
      </c>
      <c r="M532" s="2">
        <f>3*30*D532</f>
        <v>540</v>
      </c>
      <c r="N532" s="2"/>
    </row>
    <row r="533" spans="1:14" ht="12.75">
      <c r="A533" s="342"/>
      <c r="B533" s="337"/>
      <c r="C533" s="2" t="s">
        <v>70</v>
      </c>
      <c r="D533" s="2">
        <v>6</v>
      </c>
      <c r="E533" s="2">
        <f>270*D533</f>
        <v>1620</v>
      </c>
      <c r="F533" s="2">
        <f>220*D533</f>
        <v>1320</v>
      </c>
      <c r="G533" s="2">
        <f>75*D533</f>
        <v>450</v>
      </c>
      <c r="H533" s="2">
        <v>0</v>
      </c>
      <c r="I533" s="2">
        <f>60*D533</f>
        <v>360</v>
      </c>
      <c r="J533" s="6">
        <v>0</v>
      </c>
      <c r="K533" s="2">
        <v>0</v>
      </c>
      <c r="L533" s="2">
        <f>40*D533*30</f>
        <v>7200</v>
      </c>
      <c r="M533" s="2">
        <f>3*30*D533</f>
        <v>540</v>
      </c>
      <c r="N533" s="2"/>
    </row>
    <row r="534" spans="1:14" ht="12.75">
      <c r="A534" s="342"/>
      <c r="B534" s="337"/>
      <c r="C534" s="2" t="s">
        <v>83</v>
      </c>
      <c r="D534" s="2">
        <v>2</v>
      </c>
      <c r="E534" s="2">
        <f>255*D534</f>
        <v>510</v>
      </c>
      <c r="F534" s="2">
        <f>210*D534</f>
        <v>420</v>
      </c>
      <c r="G534" s="2">
        <f>60*D534</f>
        <v>120</v>
      </c>
      <c r="H534" s="2">
        <v>0</v>
      </c>
      <c r="I534" s="2">
        <v>0</v>
      </c>
      <c r="J534" s="6">
        <v>0</v>
      </c>
      <c r="K534" s="2">
        <v>0</v>
      </c>
      <c r="L534" s="2">
        <f>40*D534*30</f>
        <v>2400</v>
      </c>
      <c r="M534" s="2">
        <f>140*D534</f>
        <v>280</v>
      </c>
      <c r="N534" s="2"/>
    </row>
    <row r="535" spans="1:15" ht="12.75">
      <c r="A535" s="342"/>
      <c r="B535" s="332" t="s">
        <v>72</v>
      </c>
      <c r="C535" s="333"/>
      <c r="D535" s="4">
        <f>SUM(D519:D534)</f>
        <v>170</v>
      </c>
      <c r="E535" s="4">
        <f aca="true" t="shared" si="80" ref="E535:M535">SUM(E519:E534)</f>
        <v>68214</v>
      </c>
      <c r="F535" s="4">
        <f t="shared" si="80"/>
        <v>62168</v>
      </c>
      <c r="G535" s="4">
        <f t="shared" si="80"/>
        <v>11086</v>
      </c>
      <c r="H535" s="4">
        <f t="shared" si="80"/>
        <v>816</v>
      </c>
      <c r="I535" s="4">
        <f t="shared" si="80"/>
        <v>1932</v>
      </c>
      <c r="J535" s="6">
        <f t="shared" si="80"/>
        <v>0</v>
      </c>
      <c r="K535" s="4">
        <f t="shared" si="80"/>
        <v>1880</v>
      </c>
      <c r="L535" s="4">
        <f t="shared" si="80"/>
        <v>392340</v>
      </c>
      <c r="M535" s="4">
        <f t="shared" si="80"/>
        <v>20650</v>
      </c>
      <c r="N535" s="4">
        <f>40*10+150*2+5*10*14+M535</f>
        <v>22050</v>
      </c>
      <c r="O535" s="12"/>
    </row>
    <row r="536" spans="1:14" ht="12.75">
      <c r="A536" s="342"/>
      <c r="B536" s="337">
        <v>9</v>
      </c>
      <c r="C536" s="2" t="s">
        <v>29</v>
      </c>
      <c r="D536" s="2">
        <v>32</v>
      </c>
      <c r="E536" s="3">
        <f>20*D536*30</f>
        <v>19200</v>
      </c>
      <c r="F536" s="2">
        <f>15*D536*30</f>
        <v>14400</v>
      </c>
      <c r="G536" s="2">
        <f>2*D536*30</f>
        <v>1920</v>
      </c>
      <c r="H536" s="3">
        <v>0</v>
      </c>
      <c r="I536" s="2">
        <v>0</v>
      </c>
      <c r="J536" s="6">
        <v>0</v>
      </c>
      <c r="K536" s="3">
        <v>0</v>
      </c>
      <c r="L536" s="2">
        <f>100*D536*30</f>
        <v>96000</v>
      </c>
      <c r="M536" s="3">
        <f>140*D536</f>
        <v>4480</v>
      </c>
      <c r="N536" s="2"/>
    </row>
    <row r="537" spans="1:14" ht="12.75">
      <c r="A537" s="342"/>
      <c r="B537" s="337"/>
      <c r="C537" s="2" t="s">
        <v>36</v>
      </c>
      <c r="D537" s="2">
        <v>64</v>
      </c>
      <c r="E537" s="2">
        <f>15*D537*30</f>
        <v>28800</v>
      </c>
      <c r="F537" s="2">
        <f>20*D537*30</f>
        <v>38400</v>
      </c>
      <c r="G537" s="2">
        <f>2*D537*30</f>
        <v>3840</v>
      </c>
      <c r="H537" s="2">
        <v>0</v>
      </c>
      <c r="I537" s="2">
        <v>0</v>
      </c>
      <c r="J537" s="6">
        <v>0</v>
      </c>
      <c r="K537" s="2">
        <v>0</v>
      </c>
      <c r="L537" s="2">
        <f>100*D537*30</f>
        <v>192000</v>
      </c>
      <c r="M537" s="3">
        <f>140*D537</f>
        <v>8960</v>
      </c>
      <c r="N537" s="2"/>
    </row>
    <row r="538" spans="1:14" ht="12.75">
      <c r="A538" s="342"/>
      <c r="B538" s="337"/>
      <c r="C538" s="2" t="s">
        <v>51</v>
      </c>
      <c r="D538" s="2">
        <v>20</v>
      </c>
      <c r="E538" s="2">
        <f>20*D538*30</f>
        <v>12000</v>
      </c>
      <c r="F538" s="2">
        <f>5*D538*30</f>
        <v>3000</v>
      </c>
      <c r="G538" s="2">
        <f>4*D538*30</f>
        <v>2400</v>
      </c>
      <c r="H538" s="2">
        <v>0</v>
      </c>
      <c r="I538" s="2">
        <v>0</v>
      </c>
      <c r="J538" s="6">
        <v>0</v>
      </c>
      <c r="K538" s="2">
        <v>0</v>
      </c>
      <c r="L538" s="2">
        <f>100*D538*30</f>
        <v>60000</v>
      </c>
      <c r="M538" s="3">
        <f>140*D538</f>
        <v>2800</v>
      </c>
      <c r="N538" s="2"/>
    </row>
    <row r="539" spans="1:14" ht="12.75">
      <c r="A539" s="342"/>
      <c r="B539" s="337"/>
      <c r="C539" s="2" t="s">
        <v>30</v>
      </c>
      <c r="D539" s="2">
        <v>10</v>
      </c>
      <c r="E539" s="3">
        <f>3*D539</f>
        <v>30</v>
      </c>
      <c r="F539" s="2">
        <v>0</v>
      </c>
      <c r="G539" s="2">
        <f>6*D539</f>
        <v>60</v>
      </c>
      <c r="H539" s="2">
        <f>10*D539</f>
        <v>100</v>
      </c>
      <c r="I539" s="2">
        <v>0</v>
      </c>
      <c r="J539" s="6">
        <v>0</v>
      </c>
      <c r="K539" s="2">
        <f>170*D539</f>
        <v>1700</v>
      </c>
      <c r="L539" s="2">
        <f aca="true" t="shared" si="81" ref="L539:L544">18*D539*30</f>
        <v>5400</v>
      </c>
      <c r="M539" s="3">
        <f>60*10</f>
        <v>600</v>
      </c>
      <c r="N539" s="2"/>
    </row>
    <row r="540" spans="1:14" ht="12.75">
      <c r="A540" s="342"/>
      <c r="B540" s="337"/>
      <c r="C540" s="2" t="s">
        <v>32</v>
      </c>
      <c r="D540" s="2">
        <v>2</v>
      </c>
      <c r="E540" s="2">
        <f>14*D540</f>
        <v>28</v>
      </c>
      <c r="F540" s="2">
        <v>0</v>
      </c>
      <c r="G540" s="2">
        <f>9*D540</f>
        <v>18</v>
      </c>
      <c r="H540" s="2">
        <f>45*D540</f>
        <v>90</v>
      </c>
      <c r="I540" s="2">
        <v>0</v>
      </c>
      <c r="J540" s="6">
        <v>0</v>
      </c>
      <c r="K540" s="2">
        <f>90*D540</f>
        <v>180</v>
      </c>
      <c r="L540" s="2">
        <f t="shared" si="81"/>
        <v>1080</v>
      </c>
      <c r="M540" s="3">
        <f>75+1.5*30*D540</f>
        <v>165</v>
      </c>
      <c r="N540" s="2"/>
    </row>
    <row r="541" spans="1:14" ht="12.75">
      <c r="A541" s="342"/>
      <c r="B541" s="337"/>
      <c r="C541" s="2" t="s">
        <v>34</v>
      </c>
      <c r="D541" s="2">
        <v>2</v>
      </c>
      <c r="E541" s="2">
        <f>15*D541</f>
        <v>30</v>
      </c>
      <c r="F541" s="2">
        <v>0</v>
      </c>
      <c r="G541" s="2">
        <f>13*D541</f>
        <v>26</v>
      </c>
      <c r="H541" s="2">
        <f>72*D541</f>
        <v>144</v>
      </c>
      <c r="I541" s="2">
        <v>0</v>
      </c>
      <c r="J541" s="6">
        <v>0</v>
      </c>
      <c r="K541" s="2">
        <v>0</v>
      </c>
      <c r="L541" s="2">
        <f t="shared" si="81"/>
        <v>1080</v>
      </c>
      <c r="M541" s="2">
        <f>1.5*30*D541</f>
        <v>90</v>
      </c>
      <c r="N541" s="2"/>
    </row>
    <row r="542" spans="1:14" ht="12.75">
      <c r="A542" s="342"/>
      <c r="B542" s="337"/>
      <c r="C542" s="2" t="s">
        <v>37</v>
      </c>
      <c r="D542" s="2">
        <v>2</v>
      </c>
      <c r="E542" s="2">
        <f>21*D542</f>
        <v>42</v>
      </c>
      <c r="F542" s="3">
        <v>0</v>
      </c>
      <c r="G542" s="2">
        <f>21*D542</f>
        <v>42</v>
      </c>
      <c r="H542" s="2">
        <f>80*D542</f>
        <v>160</v>
      </c>
      <c r="I542" s="3">
        <v>0</v>
      </c>
      <c r="J542" s="6">
        <v>0</v>
      </c>
      <c r="K542" s="3">
        <v>0</v>
      </c>
      <c r="L542" s="2">
        <f t="shared" si="81"/>
        <v>1080</v>
      </c>
      <c r="M542" s="2">
        <f>1.5*30*D542</f>
        <v>90</v>
      </c>
      <c r="N542" s="2"/>
    </row>
    <row r="543" spans="1:14" ht="12.75">
      <c r="A543" s="342"/>
      <c r="B543" s="337"/>
      <c r="C543" s="2" t="s">
        <v>39</v>
      </c>
      <c r="D543" s="2">
        <v>2</v>
      </c>
      <c r="E543" s="2">
        <f>24*D543</f>
        <v>48</v>
      </c>
      <c r="F543" s="2">
        <f>20*D543</f>
        <v>40</v>
      </c>
      <c r="G543" s="2">
        <f>25*D543</f>
        <v>50</v>
      </c>
      <c r="H543" s="2">
        <f>83*D543</f>
        <v>166</v>
      </c>
      <c r="I543" s="2">
        <v>0</v>
      </c>
      <c r="J543" s="6">
        <v>0</v>
      </c>
      <c r="K543" s="2">
        <v>0</v>
      </c>
      <c r="L543" s="2">
        <f t="shared" si="81"/>
        <v>1080</v>
      </c>
      <c r="M543" s="2">
        <f>1.5*30*D543</f>
        <v>90</v>
      </c>
      <c r="N543" s="2"/>
    </row>
    <row r="544" spans="1:14" ht="12.75">
      <c r="A544" s="342"/>
      <c r="B544" s="337"/>
      <c r="C544" s="2" t="s">
        <v>42</v>
      </c>
      <c r="D544" s="2">
        <v>2</v>
      </c>
      <c r="E544" s="2">
        <f>58*D544</f>
        <v>116</v>
      </c>
      <c r="F544" s="2">
        <f>44*D544</f>
        <v>88</v>
      </c>
      <c r="G544" s="2">
        <f>135*D544</f>
        <v>270</v>
      </c>
      <c r="H544" s="2">
        <f>78*D544</f>
        <v>156</v>
      </c>
      <c r="I544" s="2">
        <v>0</v>
      </c>
      <c r="J544" s="6">
        <v>0</v>
      </c>
      <c r="K544" s="2">
        <v>0</v>
      </c>
      <c r="L544" s="2">
        <f t="shared" si="81"/>
        <v>1080</v>
      </c>
      <c r="M544" s="2">
        <f>1.5*30*D544</f>
        <v>90</v>
      </c>
      <c r="N544" s="2"/>
    </row>
    <row r="545" spans="1:14" ht="12.75">
      <c r="A545" s="342"/>
      <c r="B545" s="337"/>
      <c r="C545" s="2" t="s">
        <v>48</v>
      </c>
      <c r="D545" s="2">
        <v>6</v>
      </c>
      <c r="E545" s="2">
        <f>165*D545</f>
        <v>990</v>
      </c>
      <c r="F545" s="2">
        <f>105*D545</f>
        <v>630</v>
      </c>
      <c r="G545" s="2">
        <f>45*D545</f>
        <v>270</v>
      </c>
      <c r="H545" s="2">
        <v>0</v>
      </c>
      <c r="I545" s="2">
        <f>75*D545</f>
        <v>450</v>
      </c>
      <c r="J545" s="6">
        <v>0</v>
      </c>
      <c r="K545" s="2">
        <v>0</v>
      </c>
      <c r="L545" s="2">
        <f>24*D545*30</f>
        <v>4320</v>
      </c>
      <c r="M545" s="2">
        <f>100+3*30*D545</f>
        <v>640</v>
      </c>
      <c r="N545" s="2"/>
    </row>
    <row r="546" spans="1:14" ht="12.75">
      <c r="A546" s="342"/>
      <c r="B546" s="337"/>
      <c r="C546" s="2" t="s">
        <v>52</v>
      </c>
      <c r="D546" s="2">
        <v>6</v>
      </c>
      <c r="E546" s="2">
        <f>195*D546</f>
        <v>1170</v>
      </c>
      <c r="F546" s="2">
        <f>150*D546</f>
        <v>900</v>
      </c>
      <c r="G546" s="2">
        <f>135*D546</f>
        <v>810</v>
      </c>
      <c r="H546" s="2">
        <v>0</v>
      </c>
      <c r="I546" s="2">
        <f>60*D546</f>
        <v>360</v>
      </c>
      <c r="J546" s="6">
        <v>0</v>
      </c>
      <c r="K546" s="2">
        <v>0</v>
      </c>
      <c r="L546" s="2">
        <f>24*D546*30</f>
        <v>4320</v>
      </c>
      <c r="M546" s="2">
        <f>3*30*D546</f>
        <v>540</v>
      </c>
      <c r="N546" s="2"/>
    </row>
    <row r="547" spans="1:14" ht="12.75">
      <c r="A547" s="342"/>
      <c r="B547" s="337"/>
      <c r="C547" s="2" t="s">
        <v>55</v>
      </c>
      <c r="D547" s="2">
        <v>4</v>
      </c>
      <c r="E547" s="2">
        <f>240*D547</f>
        <v>960</v>
      </c>
      <c r="F547" s="2">
        <f>195*D547</f>
        <v>780</v>
      </c>
      <c r="G547" s="2">
        <f>45*D547</f>
        <v>180</v>
      </c>
      <c r="H547" s="2">
        <v>0</v>
      </c>
      <c r="I547" s="2">
        <f>60*D547</f>
        <v>240</v>
      </c>
      <c r="J547" s="6">
        <v>0</v>
      </c>
      <c r="K547" s="2">
        <v>0</v>
      </c>
      <c r="L547" s="2">
        <f>30*D547*30</f>
        <v>3600</v>
      </c>
      <c r="M547" s="2">
        <f>3*30*D547</f>
        <v>360</v>
      </c>
      <c r="N547" s="2"/>
    </row>
    <row r="548" spans="1:14" ht="12.75">
      <c r="A548" s="342"/>
      <c r="B548" s="337"/>
      <c r="C548" s="2" t="s">
        <v>59</v>
      </c>
      <c r="D548" s="2">
        <v>4</v>
      </c>
      <c r="E548" s="2">
        <f>255*D548</f>
        <v>1020</v>
      </c>
      <c r="F548" s="2">
        <f>210*D548</f>
        <v>840</v>
      </c>
      <c r="G548" s="2">
        <f>60*D548</f>
        <v>240</v>
      </c>
      <c r="H548" s="2">
        <v>0</v>
      </c>
      <c r="I548" s="2">
        <f>51*D548</f>
        <v>204</v>
      </c>
      <c r="J548" s="6">
        <v>0</v>
      </c>
      <c r="K548" s="2">
        <v>0</v>
      </c>
      <c r="L548" s="2">
        <f>35*D548*30</f>
        <v>4200</v>
      </c>
      <c r="M548" s="2">
        <f>3*30*D548</f>
        <v>360</v>
      </c>
      <c r="N548" s="2"/>
    </row>
    <row r="549" spans="1:14" ht="12.75">
      <c r="A549" s="342"/>
      <c r="B549" s="337"/>
      <c r="C549" s="2" t="s">
        <v>65</v>
      </c>
      <c r="D549" s="2">
        <v>6</v>
      </c>
      <c r="E549" s="2">
        <f>270*D549</f>
        <v>1620</v>
      </c>
      <c r="F549" s="2">
        <f>220*D549</f>
        <v>1320</v>
      </c>
      <c r="G549" s="2">
        <f>60*D549</f>
        <v>360</v>
      </c>
      <c r="H549" s="2">
        <v>0</v>
      </c>
      <c r="I549" s="2">
        <f>56*D549</f>
        <v>336</v>
      </c>
      <c r="J549" s="6">
        <v>0</v>
      </c>
      <c r="K549" s="2">
        <v>0</v>
      </c>
      <c r="L549" s="2">
        <f>40*D549*30</f>
        <v>7200</v>
      </c>
      <c r="M549" s="2">
        <f>3*30*D549</f>
        <v>540</v>
      </c>
      <c r="N549" s="2"/>
    </row>
    <row r="550" spans="1:14" ht="12.75">
      <c r="A550" s="342"/>
      <c r="B550" s="337"/>
      <c r="C550" s="2" t="s">
        <v>70</v>
      </c>
      <c r="D550" s="2">
        <v>6</v>
      </c>
      <c r="E550" s="2">
        <f>270*D550</f>
        <v>1620</v>
      </c>
      <c r="F550" s="2">
        <f>220*D550</f>
        <v>1320</v>
      </c>
      <c r="G550" s="2">
        <f>75*D550</f>
        <v>450</v>
      </c>
      <c r="H550" s="2">
        <v>0</v>
      </c>
      <c r="I550" s="2">
        <f>60*D550</f>
        <v>360</v>
      </c>
      <c r="J550" s="6">
        <v>0</v>
      </c>
      <c r="K550" s="2">
        <v>0</v>
      </c>
      <c r="L550" s="2">
        <f>40*D550*30</f>
        <v>7200</v>
      </c>
      <c r="M550" s="2">
        <f>3*30*D550</f>
        <v>540</v>
      </c>
      <c r="N550" s="2"/>
    </row>
    <row r="551" spans="1:14" ht="12.75">
      <c r="A551" s="342"/>
      <c r="B551" s="337"/>
      <c r="C551" s="2" t="s">
        <v>83</v>
      </c>
      <c r="D551" s="2">
        <v>4</v>
      </c>
      <c r="E551" s="2">
        <f>255*D551</f>
        <v>1020</v>
      </c>
      <c r="F551" s="2">
        <f>210*D551</f>
        <v>840</v>
      </c>
      <c r="G551" s="2">
        <f>60*D551</f>
        <v>240</v>
      </c>
      <c r="H551" s="2">
        <v>0</v>
      </c>
      <c r="I551" s="2">
        <v>0</v>
      </c>
      <c r="J551" s="6">
        <v>0</v>
      </c>
      <c r="K551" s="2">
        <v>0</v>
      </c>
      <c r="L551" s="2">
        <f>40*D551*30</f>
        <v>4800</v>
      </c>
      <c r="M551" s="2">
        <f>140*D551</f>
        <v>560</v>
      </c>
      <c r="N551" s="2"/>
    </row>
    <row r="552" spans="1:15" ht="12.75">
      <c r="A552" s="342"/>
      <c r="B552" s="332" t="s">
        <v>73</v>
      </c>
      <c r="C552" s="333"/>
      <c r="D552" s="4">
        <f>SUM(D536:D551)</f>
        <v>172</v>
      </c>
      <c r="E552" s="4">
        <f aca="true" t="shared" si="82" ref="E552:M552">SUM(E536:E551)</f>
        <v>68694</v>
      </c>
      <c r="F552" s="4">
        <f t="shared" si="82"/>
        <v>62558</v>
      </c>
      <c r="G552" s="4">
        <f t="shared" si="82"/>
        <v>11176</v>
      </c>
      <c r="H552" s="4">
        <f t="shared" si="82"/>
        <v>816</v>
      </c>
      <c r="I552" s="4">
        <f t="shared" si="82"/>
        <v>1950</v>
      </c>
      <c r="J552" s="6">
        <f t="shared" si="82"/>
        <v>0</v>
      </c>
      <c r="K552" s="4">
        <f t="shared" si="82"/>
        <v>1880</v>
      </c>
      <c r="L552" s="4">
        <f t="shared" si="82"/>
        <v>394440</v>
      </c>
      <c r="M552" s="4">
        <f t="shared" si="82"/>
        <v>20905</v>
      </c>
      <c r="N552" s="4">
        <f>40*10+150*2+5*10*14+M552</f>
        <v>22305</v>
      </c>
      <c r="O552" s="12"/>
    </row>
    <row r="553" spans="1:14" ht="12.75">
      <c r="A553" s="342"/>
      <c r="B553" s="337">
        <v>10</v>
      </c>
      <c r="C553" s="2" t="s">
        <v>29</v>
      </c>
      <c r="D553" s="2">
        <v>32</v>
      </c>
      <c r="E553" s="3">
        <f>20*D553*30</f>
        <v>19200</v>
      </c>
      <c r="F553" s="2">
        <f>15*D553*30</f>
        <v>14400</v>
      </c>
      <c r="G553" s="2">
        <f>2*D553*30</f>
        <v>1920</v>
      </c>
      <c r="H553" s="3">
        <v>0</v>
      </c>
      <c r="I553" s="2">
        <v>0</v>
      </c>
      <c r="J553" s="6">
        <v>0</v>
      </c>
      <c r="K553" s="3">
        <v>0</v>
      </c>
      <c r="L553" s="2">
        <f>100*D553*30</f>
        <v>96000</v>
      </c>
      <c r="M553" s="3">
        <f>140*D553</f>
        <v>4480</v>
      </c>
      <c r="N553" s="2"/>
    </row>
    <row r="554" spans="1:14" ht="12.75">
      <c r="A554" s="342"/>
      <c r="B554" s="337"/>
      <c r="C554" s="2" t="s">
        <v>36</v>
      </c>
      <c r="D554" s="2">
        <v>64</v>
      </c>
      <c r="E554" s="2">
        <f>15*D554*30</f>
        <v>28800</v>
      </c>
      <c r="F554" s="2">
        <f>20*D554*30</f>
        <v>38400</v>
      </c>
      <c r="G554" s="2">
        <f>2*D554*30</f>
        <v>3840</v>
      </c>
      <c r="H554" s="2">
        <v>0</v>
      </c>
      <c r="I554" s="2">
        <v>0</v>
      </c>
      <c r="J554" s="6">
        <v>0</v>
      </c>
      <c r="K554" s="2">
        <v>0</v>
      </c>
      <c r="L554" s="2">
        <f>100*D554*30</f>
        <v>192000</v>
      </c>
      <c r="M554" s="3">
        <f>140*D554</f>
        <v>8960</v>
      </c>
      <c r="N554" s="2"/>
    </row>
    <row r="555" spans="1:14" ht="12.75">
      <c r="A555" s="342"/>
      <c r="B555" s="337"/>
      <c r="C555" s="2" t="s">
        <v>51</v>
      </c>
      <c r="D555" s="2">
        <v>20</v>
      </c>
      <c r="E555" s="2">
        <f>20*D555*30</f>
        <v>12000</v>
      </c>
      <c r="F555" s="2">
        <f>5*D555*30</f>
        <v>3000</v>
      </c>
      <c r="G555" s="2">
        <f>4*D555*30</f>
        <v>2400</v>
      </c>
      <c r="H555" s="2">
        <v>0</v>
      </c>
      <c r="I555" s="2">
        <v>0</v>
      </c>
      <c r="J555" s="6">
        <v>0</v>
      </c>
      <c r="K555" s="2">
        <v>0</v>
      </c>
      <c r="L555" s="2">
        <f>100*D555*30</f>
        <v>60000</v>
      </c>
      <c r="M555" s="3">
        <f>140*D555</f>
        <v>2800</v>
      </c>
      <c r="N555" s="2"/>
    </row>
    <row r="556" spans="1:14" ht="12.75">
      <c r="A556" s="342"/>
      <c r="B556" s="337"/>
      <c r="C556" s="2" t="s">
        <v>30</v>
      </c>
      <c r="D556" s="2">
        <v>12</v>
      </c>
      <c r="E556" s="3">
        <f>3*D556</f>
        <v>36</v>
      </c>
      <c r="F556" s="2">
        <v>0</v>
      </c>
      <c r="G556" s="2">
        <f>6*D556</f>
        <v>72</v>
      </c>
      <c r="H556" s="2">
        <f>10*D556</f>
        <v>120</v>
      </c>
      <c r="I556" s="2">
        <v>0</v>
      </c>
      <c r="J556" s="6">
        <v>0</v>
      </c>
      <c r="K556" s="2">
        <f>170*D556</f>
        <v>2040</v>
      </c>
      <c r="L556" s="2">
        <f aca="true" t="shared" si="83" ref="L556:L561">18*D556*30</f>
        <v>6480</v>
      </c>
      <c r="M556" s="3">
        <f>60*12</f>
        <v>720</v>
      </c>
      <c r="N556" s="2"/>
    </row>
    <row r="557" spans="1:14" ht="12.75">
      <c r="A557" s="342"/>
      <c r="B557" s="337"/>
      <c r="C557" s="2" t="s">
        <v>32</v>
      </c>
      <c r="D557" s="2">
        <v>2</v>
      </c>
      <c r="E557" s="2">
        <f>14*D557</f>
        <v>28</v>
      </c>
      <c r="F557" s="2">
        <v>0</v>
      </c>
      <c r="G557" s="2">
        <f>9*D557</f>
        <v>18</v>
      </c>
      <c r="H557" s="2">
        <f>45*D557</f>
        <v>90</v>
      </c>
      <c r="I557" s="2">
        <v>0</v>
      </c>
      <c r="J557" s="6">
        <v>0</v>
      </c>
      <c r="K557" s="2">
        <f>90*D557</f>
        <v>180</v>
      </c>
      <c r="L557" s="2">
        <f t="shared" si="83"/>
        <v>1080</v>
      </c>
      <c r="M557" s="3">
        <f>75+1.5*30*D557</f>
        <v>165</v>
      </c>
      <c r="N557" s="2"/>
    </row>
    <row r="558" spans="1:14" ht="12.75">
      <c r="A558" s="342"/>
      <c r="B558" s="337"/>
      <c r="C558" s="2" t="s">
        <v>34</v>
      </c>
      <c r="D558" s="2">
        <v>2</v>
      </c>
      <c r="E558" s="2">
        <f>15*D558</f>
        <v>30</v>
      </c>
      <c r="F558" s="2">
        <v>0</v>
      </c>
      <c r="G558" s="2">
        <f>13*D558</f>
        <v>26</v>
      </c>
      <c r="H558" s="2">
        <f>72*D558</f>
        <v>144</v>
      </c>
      <c r="I558" s="2">
        <v>0</v>
      </c>
      <c r="J558" s="6">
        <v>0</v>
      </c>
      <c r="K558" s="2">
        <v>0</v>
      </c>
      <c r="L558" s="2">
        <f t="shared" si="83"/>
        <v>1080</v>
      </c>
      <c r="M558" s="2">
        <f>1.5*30*D558</f>
        <v>90</v>
      </c>
      <c r="N558" s="2"/>
    </row>
    <row r="559" spans="1:14" ht="12.75">
      <c r="A559" s="342"/>
      <c r="B559" s="337"/>
      <c r="C559" s="2" t="s">
        <v>37</v>
      </c>
      <c r="D559" s="2">
        <v>2</v>
      </c>
      <c r="E559" s="2">
        <f>21*D559</f>
        <v>42</v>
      </c>
      <c r="F559" s="3">
        <v>0</v>
      </c>
      <c r="G559" s="2">
        <f>21*D559</f>
        <v>42</v>
      </c>
      <c r="H559" s="2">
        <f>80*D559</f>
        <v>160</v>
      </c>
      <c r="I559" s="3">
        <v>0</v>
      </c>
      <c r="J559" s="6">
        <v>0</v>
      </c>
      <c r="K559" s="3">
        <v>0</v>
      </c>
      <c r="L559" s="2">
        <f t="shared" si="83"/>
        <v>1080</v>
      </c>
      <c r="M559" s="2">
        <f>1.5*30*D559</f>
        <v>90</v>
      </c>
      <c r="N559" s="2"/>
    </row>
    <row r="560" spans="1:14" ht="12.75">
      <c r="A560" s="342"/>
      <c r="B560" s="337"/>
      <c r="C560" s="2" t="s">
        <v>39</v>
      </c>
      <c r="D560" s="2">
        <v>2</v>
      </c>
      <c r="E560" s="2">
        <f>24*D560</f>
        <v>48</v>
      </c>
      <c r="F560" s="2">
        <f>20*D560</f>
        <v>40</v>
      </c>
      <c r="G560" s="2">
        <f>25*D560</f>
        <v>50</v>
      </c>
      <c r="H560" s="2">
        <f>83*D560</f>
        <v>166</v>
      </c>
      <c r="I560" s="2">
        <v>0</v>
      </c>
      <c r="J560" s="6">
        <v>0</v>
      </c>
      <c r="K560" s="2">
        <v>0</v>
      </c>
      <c r="L560" s="2">
        <f t="shared" si="83"/>
        <v>1080</v>
      </c>
      <c r="M560" s="2">
        <f>1.5*30*D560</f>
        <v>90</v>
      </c>
      <c r="N560" s="2"/>
    </row>
    <row r="561" spans="1:14" ht="12.75">
      <c r="A561" s="342"/>
      <c r="B561" s="337"/>
      <c r="C561" s="2" t="s">
        <v>42</v>
      </c>
      <c r="D561" s="2">
        <v>2</v>
      </c>
      <c r="E561" s="2">
        <f>58*D561</f>
        <v>116</v>
      </c>
      <c r="F561" s="2">
        <f>44*D561</f>
        <v>88</v>
      </c>
      <c r="G561" s="2">
        <f>135*D561</f>
        <v>270</v>
      </c>
      <c r="H561" s="2">
        <f>78*D561</f>
        <v>156</v>
      </c>
      <c r="I561" s="2">
        <v>0</v>
      </c>
      <c r="J561" s="6">
        <v>0</v>
      </c>
      <c r="K561" s="2">
        <v>0</v>
      </c>
      <c r="L561" s="2">
        <f t="shared" si="83"/>
        <v>1080</v>
      </c>
      <c r="M561" s="2">
        <f>1.5*30*D561</f>
        <v>90</v>
      </c>
      <c r="N561" s="2"/>
    </row>
    <row r="562" spans="1:14" ht="12.75">
      <c r="A562" s="342"/>
      <c r="B562" s="337"/>
      <c r="C562" s="2" t="s">
        <v>48</v>
      </c>
      <c r="D562" s="2">
        <v>6</v>
      </c>
      <c r="E562" s="2">
        <f>165*D562</f>
        <v>990</v>
      </c>
      <c r="F562" s="2">
        <f>105*D562</f>
        <v>630</v>
      </c>
      <c r="G562" s="2">
        <f>45*D562</f>
        <v>270</v>
      </c>
      <c r="H562" s="2">
        <v>0</v>
      </c>
      <c r="I562" s="2">
        <f>75*D562</f>
        <v>450</v>
      </c>
      <c r="J562" s="6">
        <v>0</v>
      </c>
      <c r="K562" s="2">
        <v>0</v>
      </c>
      <c r="L562" s="2">
        <f>24*D562*30</f>
        <v>4320</v>
      </c>
      <c r="M562" s="2">
        <f aca="true" t="shared" si="84" ref="M562:M567">3*30*D562</f>
        <v>540</v>
      </c>
      <c r="N562" s="2"/>
    </row>
    <row r="563" spans="1:14" ht="12.75">
      <c r="A563" s="342"/>
      <c r="B563" s="337"/>
      <c r="C563" s="2" t="s">
        <v>52</v>
      </c>
      <c r="D563" s="2">
        <v>6</v>
      </c>
      <c r="E563" s="2">
        <f>195*D563</f>
        <v>1170</v>
      </c>
      <c r="F563" s="2">
        <f>150*D563</f>
        <v>900</v>
      </c>
      <c r="G563" s="2">
        <f>135*D563</f>
        <v>810</v>
      </c>
      <c r="H563" s="2">
        <v>0</v>
      </c>
      <c r="I563" s="2">
        <f>60*D563</f>
        <v>360</v>
      </c>
      <c r="J563" s="6">
        <v>0</v>
      </c>
      <c r="K563" s="2">
        <v>0</v>
      </c>
      <c r="L563" s="2">
        <f>24*D563*30</f>
        <v>4320</v>
      </c>
      <c r="M563" s="2">
        <f t="shared" si="84"/>
        <v>540</v>
      </c>
      <c r="N563" s="2"/>
    </row>
    <row r="564" spans="1:14" ht="12.75">
      <c r="A564" s="342"/>
      <c r="B564" s="337"/>
      <c r="C564" s="2" t="s">
        <v>55</v>
      </c>
      <c r="D564" s="2">
        <v>6</v>
      </c>
      <c r="E564" s="2">
        <f>240*D564</f>
        <v>1440</v>
      </c>
      <c r="F564" s="2">
        <f>195*D564</f>
        <v>1170</v>
      </c>
      <c r="G564" s="2">
        <f>45*D564</f>
        <v>270</v>
      </c>
      <c r="H564" s="2">
        <v>0</v>
      </c>
      <c r="I564" s="2">
        <f>60*D564</f>
        <v>360</v>
      </c>
      <c r="J564" s="6">
        <v>0</v>
      </c>
      <c r="K564" s="2">
        <v>0</v>
      </c>
      <c r="L564" s="2">
        <f>30*D564*30</f>
        <v>5400</v>
      </c>
      <c r="M564" s="2">
        <f t="shared" si="84"/>
        <v>540</v>
      </c>
      <c r="N564" s="2"/>
    </row>
    <row r="565" spans="1:14" ht="12.75">
      <c r="A565" s="342"/>
      <c r="B565" s="337"/>
      <c r="C565" s="2" t="s">
        <v>59</v>
      </c>
      <c r="D565" s="2">
        <v>2</v>
      </c>
      <c r="E565" s="2">
        <f>255*D565</f>
        <v>510</v>
      </c>
      <c r="F565" s="2">
        <f>210*D565</f>
        <v>420</v>
      </c>
      <c r="G565" s="2">
        <f>60*D565</f>
        <v>120</v>
      </c>
      <c r="H565" s="2">
        <v>0</v>
      </c>
      <c r="I565" s="2">
        <f>51*D565</f>
        <v>102</v>
      </c>
      <c r="J565" s="6">
        <v>0</v>
      </c>
      <c r="K565" s="2">
        <v>0</v>
      </c>
      <c r="L565" s="2">
        <f>35*D565*30</f>
        <v>2100</v>
      </c>
      <c r="M565" s="2">
        <f t="shared" si="84"/>
        <v>180</v>
      </c>
      <c r="N565" s="2"/>
    </row>
    <row r="566" spans="1:14" ht="12.75">
      <c r="A566" s="342"/>
      <c r="B566" s="337"/>
      <c r="C566" s="2" t="s">
        <v>65</v>
      </c>
      <c r="D566" s="2">
        <v>6</v>
      </c>
      <c r="E566" s="2">
        <f>270*D566</f>
        <v>1620</v>
      </c>
      <c r="F566" s="2">
        <f>220*D566</f>
        <v>1320</v>
      </c>
      <c r="G566" s="2">
        <f>60*D566</f>
        <v>360</v>
      </c>
      <c r="H566" s="2">
        <v>0</v>
      </c>
      <c r="I566" s="2">
        <f>56*D566</f>
        <v>336</v>
      </c>
      <c r="J566" s="6">
        <v>0</v>
      </c>
      <c r="K566" s="2">
        <v>0</v>
      </c>
      <c r="L566" s="2">
        <f>40*D566*30</f>
        <v>7200</v>
      </c>
      <c r="M566" s="2">
        <f t="shared" si="84"/>
        <v>540</v>
      </c>
      <c r="N566" s="2"/>
    </row>
    <row r="567" spans="1:14" ht="12.75">
      <c r="A567" s="342"/>
      <c r="B567" s="337"/>
      <c r="C567" s="2" t="s">
        <v>70</v>
      </c>
      <c r="D567" s="2">
        <v>6</v>
      </c>
      <c r="E567" s="2">
        <f>270*D567</f>
        <v>1620</v>
      </c>
      <c r="F567" s="2">
        <f>220*D567</f>
        <v>1320</v>
      </c>
      <c r="G567" s="2">
        <f>75*D567</f>
        <v>450</v>
      </c>
      <c r="H567" s="2">
        <v>0</v>
      </c>
      <c r="I567" s="2">
        <f>60*D567</f>
        <v>360</v>
      </c>
      <c r="J567" s="6">
        <v>0</v>
      </c>
      <c r="K567" s="2">
        <v>0</v>
      </c>
      <c r="L567" s="2">
        <f>40*D567*30</f>
        <v>7200</v>
      </c>
      <c r="M567" s="2">
        <f t="shared" si="84"/>
        <v>540</v>
      </c>
      <c r="N567" s="2"/>
    </row>
    <row r="568" spans="1:14" ht="12.75">
      <c r="A568" s="342"/>
      <c r="B568" s="337"/>
      <c r="C568" s="2" t="s">
        <v>83</v>
      </c>
      <c r="D568" s="2">
        <v>4</v>
      </c>
      <c r="E568" s="2">
        <f>255*D568</f>
        <v>1020</v>
      </c>
      <c r="F568" s="2">
        <f>210*D568</f>
        <v>840</v>
      </c>
      <c r="G568" s="2">
        <f>60*D568</f>
        <v>240</v>
      </c>
      <c r="H568" s="2">
        <v>0</v>
      </c>
      <c r="I568" s="2">
        <v>0</v>
      </c>
      <c r="J568" s="6">
        <v>0</v>
      </c>
      <c r="K568" s="2">
        <v>0</v>
      </c>
      <c r="L568" s="2">
        <f>40*D568*30</f>
        <v>4800</v>
      </c>
      <c r="M568" s="2">
        <f>140*D568</f>
        <v>560</v>
      </c>
      <c r="N568" s="2"/>
    </row>
    <row r="569" spans="1:15" ht="12.75">
      <c r="A569" s="342"/>
      <c r="B569" s="332" t="s">
        <v>74</v>
      </c>
      <c r="C569" s="333"/>
      <c r="D569" s="4">
        <f>SUM(D553:D568)</f>
        <v>174</v>
      </c>
      <c r="E569" s="4">
        <f aca="true" t="shared" si="85" ref="E569:M569">SUM(E553:E568)</f>
        <v>68670</v>
      </c>
      <c r="F569" s="4">
        <f t="shared" si="85"/>
        <v>62528</v>
      </c>
      <c r="G569" s="4">
        <f t="shared" si="85"/>
        <v>11158</v>
      </c>
      <c r="H569" s="4">
        <f t="shared" si="85"/>
        <v>836</v>
      </c>
      <c r="I569" s="4">
        <f t="shared" si="85"/>
        <v>1968</v>
      </c>
      <c r="J569" s="6">
        <f t="shared" si="85"/>
        <v>0</v>
      </c>
      <c r="K569" s="4">
        <f t="shared" si="85"/>
        <v>2220</v>
      </c>
      <c r="L569" s="4">
        <f t="shared" si="85"/>
        <v>395220</v>
      </c>
      <c r="M569" s="4">
        <f t="shared" si="85"/>
        <v>20925</v>
      </c>
      <c r="N569" s="4">
        <f>40*12+150*2+5*12*14+M569</f>
        <v>22545</v>
      </c>
      <c r="O569" s="12"/>
    </row>
    <row r="570" spans="1:14" ht="12.75">
      <c r="A570" s="342"/>
      <c r="B570" s="337">
        <v>11</v>
      </c>
      <c r="C570" s="2" t="s">
        <v>29</v>
      </c>
      <c r="D570" s="2">
        <v>32</v>
      </c>
      <c r="E570" s="3">
        <f>20*D570*30</f>
        <v>19200</v>
      </c>
      <c r="F570" s="2">
        <f>15*D570*30</f>
        <v>14400</v>
      </c>
      <c r="G570" s="2">
        <f>2*D570*30</f>
        <v>1920</v>
      </c>
      <c r="H570" s="3">
        <v>0</v>
      </c>
      <c r="I570" s="2">
        <v>0</v>
      </c>
      <c r="J570" s="6">
        <v>0</v>
      </c>
      <c r="K570" s="3">
        <v>0</v>
      </c>
      <c r="L570" s="2">
        <f>100*D570*30</f>
        <v>96000</v>
      </c>
      <c r="M570" s="3">
        <f>140*D570</f>
        <v>4480</v>
      </c>
      <c r="N570" s="2"/>
    </row>
    <row r="571" spans="1:14" ht="12.75">
      <c r="A571" s="342"/>
      <c r="B571" s="337"/>
      <c r="C571" s="2" t="s">
        <v>36</v>
      </c>
      <c r="D571" s="2">
        <v>64</v>
      </c>
      <c r="E571" s="2">
        <f>15*D571*30</f>
        <v>28800</v>
      </c>
      <c r="F571" s="2">
        <f>20*D571*30</f>
        <v>38400</v>
      </c>
      <c r="G571" s="2">
        <f>2*D571*30</f>
        <v>3840</v>
      </c>
      <c r="H571" s="2">
        <v>0</v>
      </c>
      <c r="I571" s="2">
        <v>0</v>
      </c>
      <c r="J571" s="6">
        <v>0</v>
      </c>
      <c r="K571" s="2">
        <v>0</v>
      </c>
      <c r="L571" s="2">
        <f>100*D571*30</f>
        <v>192000</v>
      </c>
      <c r="M571" s="3">
        <f>140*D571</f>
        <v>8960</v>
      </c>
      <c r="N571" s="2"/>
    </row>
    <row r="572" spans="1:14" ht="12.75">
      <c r="A572" s="342"/>
      <c r="B572" s="337"/>
      <c r="C572" s="2" t="s">
        <v>51</v>
      </c>
      <c r="D572" s="2">
        <v>20</v>
      </c>
      <c r="E572" s="2">
        <f>20*D572*30</f>
        <v>12000</v>
      </c>
      <c r="F572" s="2">
        <f>5*D572*30</f>
        <v>3000</v>
      </c>
      <c r="G572" s="2">
        <f>4*D572*30</f>
        <v>2400</v>
      </c>
      <c r="H572" s="2">
        <v>0</v>
      </c>
      <c r="I572" s="2">
        <v>0</v>
      </c>
      <c r="J572" s="6">
        <v>0</v>
      </c>
      <c r="K572" s="2">
        <v>0</v>
      </c>
      <c r="L572" s="2">
        <f>100*D572*30</f>
        <v>60000</v>
      </c>
      <c r="M572" s="3">
        <f>140*D572</f>
        <v>2800</v>
      </c>
      <c r="N572" s="2"/>
    </row>
    <row r="573" spans="1:14" ht="12.75">
      <c r="A573" s="342"/>
      <c r="B573" s="337"/>
      <c r="C573" s="2" t="s">
        <v>30</v>
      </c>
      <c r="D573" s="2">
        <v>12</v>
      </c>
      <c r="E573" s="3">
        <f>3*D573</f>
        <v>36</v>
      </c>
      <c r="F573" s="2">
        <v>0</v>
      </c>
      <c r="G573" s="2">
        <f>6*D573</f>
        <v>72</v>
      </c>
      <c r="H573" s="2">
        <f>10*D573</f>
        <v>120</v>
      </c>
      <c r="I573" s="2">
        <v>0</v>
      </c>
      <c r="J573" s="6">
        <v>0</v>
      </c>
      <c r="K573" s="2">
        <f>170*D573</f>
        <v>2040</v>
      </c>
      <c r="L573" s="2">
        <f aca="true" t="shared" si="86" ref="L573:L578">18*D573*30</f>
        <v>6480</v>
      </c>
      <c r="M573" s="3">
        <f>60*12</f>
        <v>720</v>
      </c>
      <c r="N573" s="2"/>
    </row>
    <row r="574" spans="1:14" ht="12.75">
      <c r="A574" s="342"/>
      <c r="B574" s="337"/>
      <c r="C574" s="2" t="s">
        <v>32</v>
      </c>
      <c r="D574" s="2">
        <v>2</v>
      </c>
      <c r="E574" s="2">
        <f>14*D574</f>
        <v>28</v>
      </c>
      <c r="F574" s="2">
        <v>0</v>
      </c>
      <c r="G574" s="2">
        <f>9*D574</f>
        <v>18</v>
      </c>
      <c r="H574" s="2">
        <f>45*D574</f>
        <v>90</v>
      </c>
      <c r="I574" s="2">
        <v>0</v>
      </c>
      <c r="J574" s="6">
        <v>0</v>
      </c>
      <c r="K574" s="2">
        <f>90*D574</f>
        <v>180</v>
      </c>
      <c r="L574" s="2">
        <f t="shared" si="86"/>
        <v>1080</v>
      </c>
      <c r="M574" s="3">
        <f>75+1.5*30*D574</f>
        <v>165</v>
      </c>
      <c r="N574" s="2"/>
    </row>
    <row r="575" spans="1:14" ht="12.75">
      <c r="A575" s="342"/>
      <c r="B575" s="337"/>
      <c r="C575" s="2" t="s">
        <v>34</v>
      </c>
      <c r="D575" s="2">
        <v>2</v>
      </c>
      <c r="E575" s="2">
        <f>15*D575</f>
        <v>30</v>
      </c>
      <c r="F575" s="2">
        <v>0</v>
      </c>
      <c r="G575" s="2">
        <f>13*D575</f>
        <v>26</v>
      </c>
      <c r="H575" s="2">
        <f>72*D575</f>
        <v>144</v>
      </c>
      <c r="I575" s="2">
        <v>0</v>
      </c>
      <c r="J575" s="6">
        <v>0</v>
      </c>
      <c r="K575" s="2">
        <v>0</v>
      </c>
      <c r="L575" s="2">
        <f t="shared" si="86"/>
        <v>1080</v>
      </c>
      <c r="M575" s="2">
        <f>1.5*30*D575</f>
        <v>90</v>
      </c>
      <c r="N575" s="2"/>
    </row>
    <row r="576" spans="1:14" ht="12.75">
      <c r="A576" s="342"/>
      <c r="B576" s="337"/>
      <c r="C576" s="2" t="s">
        <v>37</v>
      </c>
      <c r="D576" s="2">
        <v>2</v>
      </c>
      <c r="E576" s="2">
        <f>21*D576</f>
        <v>42</v>
      </c>
      <c r="F576" s="3">
        <v>0</v>
      </c>
      <c r="G576" s="2">
        <f>21*D576</f>
        <v>42</v>
      </c>
      <c r="H576" s="2">
        <f>80*D576</f>
        <v>160</v>
      </c>
      <c r="I576" s="3">
        <v>0</v>
      </c>
      <c r="J576" s="6">
        <v>0</v>
      </c>
      <c r="K576" s="3">
        <v>0</v>
      </c>
      <c r="L576" s="2">
        <f t="shared" si="86"/>
        <v>1080</v>
      </c>
      <c r="M576" s="2">
        <f>1.5*30*D576</f>
        <v>90</v>
      </c>
      <c r="N576" s="2"/>
    </row>
    <row r="577" spans="1:14" ht="12.75">
      <c r="A577" s="342"/>
      <c r="B577" s="337"/>
      <c r="C577" s="2" t="s">
        <v>39</v>
      </c>
      <c r="D577" s="2">
        <v>2</v>
      </c>
      <c r="E577" s="2">
        <f>24*D577</f>
        <v>48</v>
      </c>
      <c r="F577" s="2">
        <f>20*D577</f>
        <v>40</v>
      </c>
      <c r="G577" s="2">
        <f>25*D577</f>
        <v>50</v>
      </c>
      <c r="H577" s="2">
        <f>83*D577</f>
        <v>166</v>
      </c>
      <c r="I577" s="2">
        <v>0</v>
      </c>
      <c r="J577" s="6">
        <v>0</v>
      </c>
      <c r="K577" s="2">
        <v>0</v>
      </c>
      <c r="L577" s="2">
        <f t="shared" si="86"/>
        <v>1080</v>
      </c>
      <c r="M577" s="2">
        <f>1.5*30*D577</f>
        <v>90</v>
      </c>
      <c r="N577" s="2"/>
    </row>
    <row r="578" spans="1:14" ht="12.75">
      <c r="A578" s="342"/>
      <c r="B578" s="337"/>
      <c r="C578" s="2" t="s">
        <v>42</v>
      </c>
      <c r="D578" s="2">
        <v>2</v>
      </c>
      <c r="E578" s="2">
        <f>58*D578</f>
        <v>116</v>
      </c>
      <c r="F578" s="2">
        <f>44*D578</f>
        <v>88</v>
      </c>
      <c r="G578" s="2">
        <f>135*D578</f>
        <v>270</v>
      </c>
      <c r="H578" s="2">
        <f>78*D578</f>
        <v>156</v>
      </c>
      <c r="I578" s="2">
        <v>0</v>
      </c>
      <c r="J578" s="6">
        <v>0</v>
      </c>
      <c r="K578" s="2">
        <v>0</v>
      </c>
      <c r="L578" s="2">
        <f t="shared" si="86"/>
        <v>1080</v>
      </c>
      <c r="M578" s="2">
        <f>1.5*30*D578</f>
        <v>90</v>
      </c>
      <c r="N578" s="2"/>
    </row>
    <row r="579" spans="1:14" ht="12.75">
      <c r="A579" s="342"/>
      <c r="B579" s="337"/>
      <c r="C579" s="2" t="s">
        <v>48</v>
      </c>
      <c r="D579" s="2">
        <v>6</v>
      </c>
      <c r="E579" s="2">
        <f>165*D579</f>
        <v>990</v>
      </c>
      <c r="F579" s="2">
        <f>105*D579</f>
        <v>630</v>
      </c>
      <c r="G579" s="2">
        <f>45*D579</f>
        <v>270</v>
      </c>
      <c r="H579" s="2">
        <v>0</v>
      </c>
      <c r="I579" s="2">
        <f>75*D579</f>
        <v>450</v>
      </c>
      <c r="J579" s="6">
        <v>0</v>
      </c>
      <c r="K579" s="2">
        <v>0</v>
      </c>
      <c r="L579" s="2">
        <f>24*D579*30</f>
        <v>4320</v>
      </c>
      <c r="M579" s="2">
        <f>3*30*D579</f>
        <v>540</v>
      </c>
      <c r="N579" s="2"/>
    </row>
    <row r="580" spans="1:14" ht="12.75">
      <c r="A580" s="342"/>
      <c r="B580" s="337"/>
      <c r="C580" s="2" t="s">
        <v>52</v>
      </c>
      <c r="D580" s="2">
        <v>6</v>
      </c>
      <c r="E580" s="2">
        <f>195*D580</f>
        <v>1170</v>
      </c>
      <c r="F580" s="2">
        <f>150*D580</f>
        <v>900</v>
      </c>
      <c r="G580" s="2">
        <f>135*D580</f>
        <v>810</v>
      </c>
      <c r="H580" s="2">
        <v>0</v>
      </c>
      <c r="I580" s="2">
        <f>60*D580</f>
        <v>360</v>
      </c>
      <c r="J580" s="6">
        <v>0</v>
      </c>
      <c r="K580" s="2">
        <v>0</v>
      </c>
      <c r="L580" s="2">
        <f>24*D580*30</f>
        <v>4320</v>
      </c>
      <c r="M580" s="2">
        <f>3*30*D580</f>
        <v>540</v>
      </c>
      <c r="N580" s="2"/>
    </row>
    <row r="581" spans="1:14" ht="12.75">
      <c r="A581" s="342"/>
      <c r="B581" s="337"/>
      <c r="C581" s="2" t="s">
        <v>55</v>
      </c>
      <c r="D581" s="2">
        <v>6</v>
      </c>
      <c r="E581" s="2">
        <f>240*D581</f>
        <v>1440</v>
      </c>
      <c r="F581" s="2">
        <f>195*D581</f>
        <v>1170</v>
      </c>
      <c r="G581" s="2">
        <f>45*D581</f>
        <v>270</v>
      </c>
      <c r="H581" s="2">
        <v>0</v>
      </c>
      <c r="I581" s="2">
        <f>60*D581</f>
        <v>360</v>
      </c>
      <c r="J581" s="6">
        <v>0</v>
      </c>
      <c r="K581" s="2">
        <v>0</v>
      </c>
      <c r="L581" s="2">
        <f>30*D581*30</f>
        <v>5400</v>
      </c>
      <c r="M581" s="2">
        <f>3*30*D581</f>
        <v>540</v>
      </c>
      <c r="N581" s="2"/>
    </row>
    <row r="582" spans="1:14" ht="12.75">
      <c r="A582" s="342"/>
      <c r="B582" s="337"/>
      <c r="C582" s="2" t="s">
        <v>59</v>
      </c>
      <c r="D582" s="2">
        <v>2</v>
      </c>
      <c r="E582" s="2">
        <f>255*D582</f>
        <v>510</v>
      </c>
      <c r="F582" s="2">
        <f>210*D582</f>
        <v>420</v>
      </c>
      <c r="G582" s="2">
        <f>60*D582</f>
        <v>120</v>
      </c>
      <c r="H582" s="2">
        <v>0</v>
      </c>
      <c r="I582" s="2">
        <f>51*D582</f>
        <v>102</v>
      </c>
      <c r="J582" s="6">
        <v>0</v>
      </c>
      <c r="K582" s="2">
        <v>0</v>
      </c>
      <c r="L582" s="2">
        <f>35*D582*30</f>
        <v>2100</v>
      </c>
      <c r="M582" s="2">
        <f>125+3*30*D582</f>
        <v>305</v>
      </c>
      <c r="N582" s="2"/>
    </row>
    <row r="583" spans="1:14" ht="12.75">
      <c r="A583" s="342"/>
      <c r="B583" s="337"/>
      <c r="C583" s="2" t="s">
        <v>65</v>
      </c>
      <c r="D583" s="2">
        <v>6</v>
      </c>
      <c r="E583" s="2">
        <f>270*D583</f>
        <v>1620</v>
      </c>
      <c r="F583" s="2">
        <f>220*D583</f>
        <v>1320</v>
      </c>
      <c r="G583" s="2">
        <f>60*D583</f>
        <v>360</v>
      </c>
      <c r="H583" s="2">
        <v>0</v>
      </c>
      <c r="I583" s="2">
        <f>56*D583</f>
        <v>336</v>
      </c>
      <c r="J583" s="6">
        <v>0</v>
      </c>
      <c r="K583" s="2">
        <v>0</v>
      </c>
      <c r="L583" s="2">
        <f>40*D583*30</f>
        <v>7200</v>
      </c>
      <c r="M583" s="2">
        <f>3*30*D583</f>
        <v>540</v>
      </c>
      <c r="N583" s="2"/>
    </row>
    <row r="584" spans="1:14" ht="12.75">
      <c r="A584" s="342"/>
      <c r="B584" s="337"/>
      <c r="C584" s="2" t="s">
        <v>70</v>
      </c>
      <c r="D584" s="2">
        <v>6</v>
      </c>
      <c r="E584" s="2">
        <f>270*D584</f>
        <v>1620</v>
      </c>
      <c r="F584" s="2">
        <f>220*D584</f>
        <v>1320</v>
      </c>
      <c r="G584" s="2">
        <f>75*D584</f>
        <v>450</v>
      </c>
      <c r="H584" s="2">
        <v>0</v>
      </c>
      <c r="I584" s="2">
        <f>60*D584</f>
        <v>360</v>
      </c>
      <c r="J584" s="6">
        <v>0</v>
      </c>
      <c r="K584" s="2">
        <v>0</v>
      </c>
      <c r="L584" s="2">
        <f>40*D584*30</f>
        <v>7200</v>
      </c>
      <c r="M584" s="2">
        <f>3*30*D584</f>
        <v>540</v>
      </c>
      <c r="N584" s="2"/>
    </row>
    <row r="585" spans="1:14" ht="12.75">
      <c r="A585" s="342"/>
      <c r="B585" s="337"/>
      <c r="C585" s="2" t="s">
        <v>83</v>
      </c>
      <c r="D585" s="2">
        <v>4</v>
      </c>
      <c r="E585" s="2">
        <f>255*D585</f>
        <v>1020</v>
      </c>
      <c r="F585" s="2">
        <f>210*D585</f>
        <v>840</v>
      </c>
      <c r="G585" s="2">
        <f>60*D585</f>
        <v>240</v>
      </c>
      <c r="H585" s="2">
        <v>0</v>
      </c>
      <c r="I585" s="2">
        <v>0</v>
      </c>
      <c r="J585" s="6">
        <v>0</v>
      </c>
      <c r="K585" s="2">
        <v>0</v>
      </c>
      <c r="L585" s="2">
        <f>40*D585*30</f>
        <v>4800</v>
      </c>
      <c r="M585" s="2">
        <f>120*D585</f>
        <v>480</v>
      </c>
      <c r="N585" s="2"/>
    </row>
    <row r="586" spans="1:15" ht="12.75">
      <c r="A586" s="342"/>
      <c r="B586" s="332" t="s">
        <v>75</v>
      </c>
      <c r="C586" s="333"/>
      <c r="D586" s="4">
        <f>SUM(D570:D585)</f>
        <v>174</v>
      </c>
      <c r="E586" s="4">
        <f aca="true" t="shared" si="87" ref="E586:L586">SUM(E570:E585)</f>
        <v>68670</v>
      </c>
      <c r="F586" s="4">
        <f t="shared" si="87"/>
        <v>62528</v>
      </c>
      <c r="G586" s="4">
        <f t="shared" si="87"/>
        <v>11158</v>
      </c>
      <c r="H586" s="4">
        <f t="shared" si="87"/>
        <v>836</v>
      </c>
      <c r="I586" s="4">
        <f t="shared" si="87"/>
        <v>1968</v>
      </c>
      <c r="J586" s="6">
        <f t="shared" si="87"/>
        <v>0</v>
      </c>
      <c r="K586" s="4">
        <f t="shared" si="87"/>
        <v>2220</v>
      </c>
      <c r="L586" s="4">
        <f t="shared" si="87"/>
        <v>395220</v>
      </c>
      <c r="M586" s="4">
        <f>SUM(M570:M585)</f>
        <v>20970</v>
      </c>
      <c r="N586" s="4">
        <f>40*12+150*2+5*12*14+M586</f>
        <v>22590</v>
      </c>
      <c r="O586" s="12"/>
    </row>
    <row r="587" spans="1:14" ht="12.75">
      <c r="A587" s="342"/>
      <c r="B587" s="337">
        <v>12</v>
      </c>
      <c r="C587" s="2" t="s">
        <v>29</v>
      </c>
      <c r="D587" s="2">
        <v>32</v>
      </c>
      <c r="E587" s="3">
        <f>20*D587*30</f>
        <v>19200</v>
      </c>
      <c r="F587" s="2">
        <f>15*D587*30</f>
        <v>14400</v>
      </c>
      <c r="G587" s="2">
        <f>2*D587*30</f>
        <v>1920</v>
      </c>
      <c r="H587" s="3">
        <v>0</v>
      </c>
      <c r="I587" s="2">
        <v>0</v>
      </c>
      <c r="J587" s="6">
        <v>0</v>
      </c>
      <c r="K587" s="3">
        <v>0</v>
      </c>
      <c r="L587" s="2">
        <f>100*D587*30</f>
        <v>96000</v>
      </c>
      <c r="M587" s="3">
        <f>140*D587</f>
        <v>4480</v>
      </c>
      <c r="N587" s="2"/>
    </row>
    <row r="588" spans="1:14" ht="12.75">
      <c r="A588" s="342"/>
      <c r="B588" s="337"/>
      <c r="C588" s="2" t="s">
        <v>36</v>
      </c>
      <c r="D588" s="2">
        <v>64</v>
      </c>
      <c r="E588" s="2">
        <f>15*D588*30</f>
        <v>28800</v>
      </c>
      <c r="F588" s="2">
        <f>20*D588*30</f>
        <v>38400</v>
      </c>
      <c r="G588" s="2">
        <f>2*D588*30</f>
        <v>3840</v>
      </c>
      <c r="H588" s="2">
        <v>0</v>
      </c>
      <c r="I588" s="2">
        <v>0</v>
      </c>
      <c r="J588" s="6">
        <v>0</v>
      </c>
      <c r="K588" s="2">
        <v>0</v>
      </c>
      <c r="L588" s="2">
        <f>100*D588*30</f>
        <v>192000</v>
      </c>
      <c r="M588" s="3">
        <f>140*D588</f>
        <v>8960</v>
      </c>
      <c r="N588" s="2"/>
    </row>
    <row r="589" spans="1:14" ht="12.75">
      <c r="A589" s="342"/>
      <c r="B589" s="337"/>
      <c r="C589" s="2" t="s">
        <v>51</v>
      </c>
      <c r="D589" s="2">
        <v>20</v>
      </c>
      <c r="E589" s="2">
        <f>20*D589*30</f>
        <v>12000</v>
      </c>
      <c r="F589" s="2">
        <f>5*D589*30</f>
        <v>3000</v>
      </c>
      <c r="G589" s="2">
        <f>4*D589*30</f>
        <v>2400</v>
      </c>
      <c r="H589" s="2">
        <v>0</v>
      </c>
      <c r="I589" s="2">
        <v>0</v>
      </c>
      <c r="J589" s="6">
        <v>0</v>
      </c>
      <c r="K589" s="2">
        <v>0</v>
      </c>
      <c r="L589" s="2">
        <f>100*D589*30</f>
        <v>60000</v>
      </c>
      <c r="M589" s="3">
        <f>140*D589</f>
        <v>2800</v>
      </c>
      <c r="N589" s="2"/>
    </row>
    <row r="590" spans="1:14" ht="12.75">
      <c r="A590" s="342"/>
      <c r="B590" s="337"/>
      <c r="C590" s="2" t="s">
        <v>30</v>
      </c>
      <c r="D590" s="2">
        <v>12</v>
      </c>
      <c r="E590" s="3">
        <f>3*D590</f>
        <v>36</v>
      </c>
      <c r="F590" s="2">
        <v>0</v>
      </c>
      <c r="G590" s="2">
        <f>6*D590</f>
        <v>72</v>
      </c>
      <c r="H590" s="2">
        <f>10*D590</f>
        <v>120</v>
      </c>
      <c r="I590" s="2">
        <v>0</v>
      </c>
      <c r="J590" s="6">
        <v>0</v>
      </c>
      <c r="K590" s="2">
        <f>170*D590</f>
        <v>2040</v>
      </c>
      <c r="L590" s="2">
        <f aca="true" t="shared" si="88" ref="L590:L595">18*D590*30</f>
        <v>6480</v>
      </c>
      <c r="M590" s="3">
        <f>60*12</f>
        <v>720</v>
      </c>
      <c r="N590" s="2"/>
    </row>
    <row r="591" spans="1:14" ht="12.75">
      <c r="A591" s="342"/>
      <c r="B591" s="337"/>
      <c r="C591" s="2" t="s">
        <v>32</v>
      </c>
      <c r="D591" s="2">
        <v>2</v>
      </c>
      <c r="E591" s="2">
        <f>14*D591</f>
        <v>28</v>
      </c>
      <c r="F591" s="2">
        <v>0</v>
      </c>
      <c r="G591" s="2">
        <f>9*D591</f>
        <v>18</v>
      </c>
      <c r="H591" s="2">
        <f>45*D591</f>
        <v>90</v>
      </c>
      <c r="I591" s="2">
        <v>0</v>
      </c>
      <c r="J591" s="6">
        <v>0</v>
      </c>
      <c r="K591" s="2">
        <f>90*D591</f>
        <v>180</v>
      </c>
      <c r="L591" s="2">
        <f t="shared" si="88"/>
        <v>1080</v>
      </c>
      <c r="M591" s="3">
        <f>75+1.5*30*D591</f>
        <v>165</v>
      </c>
      <c r="N591" s="2"/>
    </row>
    <row r="592" spans="1:14" ht="12.75">
      <c r="A592" s="342"/>
      <c r="B592" s="337"/>
      <c r="C592" s="2" t="s">
        <v>34</v>
      </c>
      <c r="D592" s="2">
        <v>2</v>
      </c>
      <c r="E592" s="2">
        <f>15*D592</f>
        <v>30</v>
      </c>
      <c r="F592" s="2">
        <v>0</v>
      </c>
      <c r="G592" s="2">
        <f>13*D592</f>
        <v>26</v>
      </c>
      <c r="H592" s="2">
        <f>72*D592</f>
        <v>144</v>
      </c>
      <c r="I592" s="2">
        <v>0</v>
      </c>
      <c r="J592" s="6">
        <v>0</v>
      </c>
      <c r="K592" s="2">
        <v>0</v>
      </c>
      <c r="L592" s="2">
        <f t="shared" si="88"/>
        <v>1080</v>
      </c>
      <c r="M592" s="2">
        <f>1.5*30*D592</f>
        <v>90</v>
      </c>
      <c r="N592" s="2"/>
    </row>
    <row r="593" spans="1:14" ht="12.75">
      <c r="A593" s="342"/>
      <c r="B593" s="337"/>
      <c r="C593" s="2" t="s">
        <v>37</v>
      </c>
      <c r="D593" s="2">
        <v>2</v>
      </c>
      <c r="E593" s="2">
        <f>21*D593</f>
        <v>42</v>
      </c>
      <c r="F593" s="3">
        <v>0</v>
      </c>
      <c r="G593" s="2">
        <f>21*D593</f>
        <v>42</v>
      </c>
      <c r="H593" s="2">
        <f>80*D593</f>
        <v>160</v>
      </c>
      <c r="I593" s="3">
        <v>0</v>
      </c>
      <c r="J593" s="6">
        <v>0</v>
      </c>
      <c r="K593" s="3">
        <v>0</v>
      </c>
      <c r="L593" s="2">
        <f t="shared" si="88"/>
        <v>1080</v>
      </c>
      <c r="M593" s="2">
        <f>1.5*30*D593</f>
        <v>90</v>
      </c>
      <c r="N593" s="2"/>
    </row>
    <row r="594" spans="1:14" ht="12.75">
      <c r="A594" s="342"/>
      <c r="B594" s="337"/>
      <c r="C594" s="2" t="s">
        <v>39</v>
      </c>
      <c r="D594" s="2">
        <v>2</v>
      </c>
      <c r="E594" s="2">
        <f>24*D594</f>
        <v>48</v>
      </c>
      <c r="F594" s="2">
        <f>20*D594</f>
        <v>40</v>
      </c>
      <c r="G594" s="2">
        <f>25*D594</f>
        <v>50</v>
      </c>
      <c r="H594" s="2">
        <f>83*D594</f>
        <v>166</v>
      </c>
      <c r="I594" s="2">
        <v>0</v>
      </c>
      <c r="J594" s="6">
        <v>0</v>
      </c>
      <c r="K594" s="2">
        <v>0</v>
      </c>
      <c r="L594" s="2">
        <f t="shared" si="88"/>
        <v>1080</v>
      </c>
      <c r="M594" s="2">
        <f>1.5*30*D594</f>
        <v>90</v>
      </c>
      <c r="N594" s="2"/>
    </row>
    <row r="595" spans="1:14" ht="12.75">
      <c r="A595" s="342"/>
      <c r="B595" s="337"/>
      <c r="C595" s="2" t="s">
        <v>42</v>
      </c>
      <c r="D595" s="2">
        <v>2</v>
      </c>
      <c r="E595" s="2">
        <f>58*D595</f>
        <v>116</v>
      </c>
      <c r="F595" s="2">
        <f>44*D595</f>
        <v>88</v>
      </c>
      <c r="G595" s="2">
        <f>135*D595</f>
        <v>270</v>
      </c>
      <c r="H595" s="2">
        <f>78*D595</f>
        <v>156</v>
      </c>
      <c r="I595" s="2">
        <v>0</v>
      </c>
      <c r="J595" s="6">
        <v>0</v>
      </c>
      <c r="K595" s="2">
        <v>0</v>
      </c>
      <c r="L595" s="2">
        <f t="shared" si="88"/>
        <v>1080</v>
      </c>
      <c r="M595" s="2">
        <f>1.5*30*D595</f>
        <v>90</v>
      </c>
      <c r="N595" s="2"/>
    </row>
    <row r="596" spans="1:14" ht="12.75">
      <c r="A596" s="342"/>
      <c r="B596" s="337"/>
      <c r="C596" s="2" t="s">
        <v>48</v>
      </c>
      <c r="D596" s="2">
        <v>6</v>
      </c>
      <c r="E596" s="2">
        <f>165*D596</f>
        <v>990</v>
      </c>
      <c r="F596" s="2">
        <f>105*D596</f>
        <v>630</v>
      </c>
      <c r="G596" s="2">
        <f>45*D596</f>
        <v>270</v>
      </c>
      <c r="H596" s="2">
        <v>0</v>
      </c>
      <c r="I596" s="2">
        <f>75*D596</f>
        <v>450</v>
      </c>
      <c r="J596" s="6">
        <v>0</v>
      </c>
      <c r="K596" s="2">
        <v>0</v>
      </c>
      <c r="L596" s="2">
        <f>24*D596*30</f>
        <v>4320</v>
      </c>
      <c r="M596" s="2">
        <f>3*30*D596</f>
        <v>540</v>
      </c>
      <c r="N596" s="2"/>
    </row>
    <row r="597" spans="1:14" ht="12.75">
      <c r="A597" s="342"/>
      <c r="B597" s="337"/>
      <c r="C597" s="2" t="s">
        <v>52</v>
      </c>
      <c r="D597" s="2">
        <v>6</v>
      </c>
      <c r="E597" s="2">
        <f>195*D597</f>
        <v>1170</v>
      </c>
      <c r="F597" s="2">
        <f>150*D597</f>
        <v>900</v>
      </c>
      <c r="G597" s="2">
        <f>135*D597</f>
        <v>810</v>
      </c>
      <c r="H597" s="2">
        <v>0</v>
      </c>
      <c r="I597" s="2">
        <f>60*D597</f>
        <v>360</v>
      </c>
      <c r="J597" s="6">
        <v>0</v>
      </c>
      <c r="K597" s="2">
        <v>0</v>
      </c>
      <c r="L597" s="2">
        <f>24*D597*30</f>
        <v>4320</v>
      </c>
      <c r="M597" s="2">
        <f>3*30*D597</f>
        <v>540</v>
      </c>
      <c r="N597" s="2"/>
    </row>
    <row r="598" spans="1:14" ht="12.75">
      <c r="A598" s="342"/>
      <c r="B598" s="337"/>
      <c r="C598" s="2" t="s">
        <v>55</v>
      </c>
      <c r="D598" s="2">
        <v>6</v>
      </c>
      <c r="E598" s="2">
        <f>240*D598</f>
        <v>1440</v>
      </c>
      <c r="F598" s="2">
        <f>195*D598</f>
        <v>1170</v>
      </c>
      <c r="G598" s="2">
        <f>45*D598</f>
        <v>270</v>
      </c>
      <c r="H598" s="2">
        <v>0</v>
      </c>
      <c r="I598" s="2">
        <f>60*D598</f>
        <v>360</v>
      </c>
      <c r="J598" s="6">
        <v>0</v>
      </c>
      <c r="K598" s="2">
        <v>0</v>
      </c>
      <c r="L598" s="2">
        <f>30*D598*30</f>
        <v>5400</v>
      </c>
      <c r="M598" s="2">
        <f>125+3*30*D598</f>
        <v>665</v>
      </c>
      <c r="N598" s="2"/>
    </row>
    <row r="599" spans="1:14" ht="12.75">
      <c r="A599" s="342"/>
      <c r="B599" s="337"/>
      <c r="C599" s="2" t="s">
        <v>59</v>
      </c>
      <c r="D599" s="2">
        <v>4</v>
      </c>
      <c r="E599" s="2">
        <f>255*D599</f>
        <v>1020</v>
      </c>
      <c r="F599" s="2">
        <f>210*D599</f>
        <v>840</v>
      </c>
      <c r="G599" s="2">
        <f>60*D599</f>
        <v>240</v>
      </c>
      <c r="H599" s="2">
        <v>0</v>
      </c>
      <c r="I599" s="2">
        <f>51*D599</f>
        <v>204</v>
      </c>
      <c r="J599" s="6">
        <v>0</v>
      </c>
      <c r="K599" s="2">
        <v>0</v>
      </c>
      <c r="L599" s="2">
        <f>35*D599*30</f>
        <v>4200</v>
      </c>
      <c r="M599" s="2">
        <f>3*30*D599</f>
        <v>360</v>
      </c>
      <c r="N599" s="2"/>
    </row>
    <row r="600" spans="1:14" ht="12.75">
      <c r="A600" s="342"/>
      <c r="B600" s="337"/>
      <c r="C600" s="2" t="s">
        <v>65</v>
      </c>
      <c r="D600" s="2">
        <v>4</v>
      </c>
      <c r="E600" s="2">
        <f>270*D600</f>
        <v>1080</v>
      </c>
      <c r="F600" s="2">
        <f>220*D600</f>
        <v>880</v>
      </c>
      <c r="G600" s="2">
        <f>60*D600</f>
        <v>240</v>
      </c>
      <c r="H600" s="2">
        <v>0</v>
      </c>
      <c r="I600" s="2">
        <f>56*D600</f>
        <v>224</v>
      </c>
      <c r="J600" s="6">
        <v>0</v>
      </c>
      <c r="K600" s="2">
        <v>0</v>
      </c>
      <c r="L600" s="2">
        <f>40*D600*30</f>
        <v>4800</v>
      </c>
      <c r="M600" s="2">
        <f>3*30*D600</f>
        <v>360</v>
      </c>
      <c r="N600" s="2"/>
    </row>
    <row r="601" spans="1:14" ht="12.75">
      <c r="A601" s="342"/>
      <c r="B601" s="337"/>
      <c r="C601" s="2" t="s">
        <v>70</v>
      </c>
      <c r="D601" s="2">
        <v>6</v>
      </c>
      <c r="E601" s="2">
        <f>270*D601</f>
        <v>1620</v>
      </c>
      <c r="F601" s="2">
        <f>220*D601</f>
        <v>1320</v>
      </c>
      <c r="G601" s="2">
        <f>75*D601</f>
        <v>450</v>
      </c>
      <c r="H601" s="2">
        <v>0</v>
      </c>
      <c r="I601" s="2">
        <f>60*D601</f>
        <v>360</v>
      </c>
      <c r="J601" s="6">
        <v>0</v>
      </c>
      <c r="K601" s="2">
        <v>0</v>
      </c>
      <c r="L601" s="2">
        <f>40*D601*30</f>
        <v>7200</v>
      </c>
      <c r="M601" s="2">
        <f>3*30*D601</f>
        <v>540</v>
      </c>
      <c r="N601" s="2"/>
    </row>
    <row r="602" spans="1:14" ht="12.75">
      <c r="A602" s="342"/>
      <c r="B602" s="337"/>
      <c r="C602" s="2" t="s">
        <v>83</v>
      </c>
      <c r="D602" s="2">
        <v>4</v>
      </c>
      <c r="E602" s="2">
        <f>255*D602</f>
        <v>1020</v>
      </c>
      <c r="F602" s="2">
        <f>210*D602</f>
        <v>840</v>
      </c>
      <c r="G602" s="2">
        <f>60*D602</f>
        <v>240</v>
      </c>
      <c r="H602" s="2">
        <v>0</v>
      </c>
      <c r="I602" s="2">
        <v>0</v>
      </c>
      <c r="J602" s="6">
        <v>0</v>
      </c>
      <c r="K602" s="2">
        <v>0</v>
      </c>
      <c r="L602" s="2">
        <f>40*D602*30</f>
        <v>4800</v>
      </c>
      <c r="M602" s="2">
        <f>140*D602</f>
        <v>560</v>
      </c>
      <c r="N602" s="2"/>
    </row>
    <row r="603" spans="1:15" ht="12.75">
      <c r="A603" s="343"/>
      <c r="B603" s="332" t="s">
        <v>78</v>
      </c>
      <c r="C603" s="333"/>
      <c r="D603" s="4">
        <f>SUM(D587:D602)</f>
        <v>174</v>
      </c>
      <c r="E603" s="4">
        <f aca="true" t="shared" si="89" ref="E603:M603">SUM(E587:E602)</f>
        <v>68640</v>
      </c>
      <c r="F603" s="4">
        <f t="shared" si="89"/>
        <v>62508</v>
      </c>
      <c r="G603" s="4">
        <f t="shared" si="89"/>
        <v>11158</v>
      </c>
      <c r="H603" s="4">
        <f t="shared" si="89"/>
        <v>836</v>
      </c>
      <c r="I603" s="4">
        <f t="shared" si="89"/>
        <v>1958</v>
      </c>
      <c r="J603" s="6">
        <f t="shared" si="89"/>
        <v>0</v>
      </c>
      <c r="K603" s="4">
        <f t="shared" si="89"/>
        <v>2220</v>
      </c>
      <c r="L603" s="4">
        <f t="shared" si="89"/>
        <v>394920</v>
      </c>
      <c r="M603" s="4">
        <f t="shared" si="89"/>
        <v>21050</v>
      </c>
      <c r="N603" s="4">
        <f>40*12+150*2+5*12*14+M603</f>
        <v>22670</v>
      </c>
      <c r="O603" s="12"/>
    </row>
    <row r="604" spans="1:15" ht="12.75">
      <c r="A604" s="334" t="s">
        <v>79</v>
      </c>
      <c r="B604" s="335"/>
      <c r="C604" s="336"/>
      <c r="D604" s="9"/>
      <c r="E604" s="9">
        <f aca="true" t="shared" si="90" ref="E604:N604">E603+E586+E569+E552+E535+E518+E501+E484+E467+E450+E433+E416</f>
        <v>809088</v>
      </c>
      <c r="F604" s="9">
        <f t="shared" si="90"/>
        <v>738616</v>
      </c>
      <c r="G604" s="9">
        <f t="shared" si="90"/>
        <v>129042</v>
      </c>
      <c r="H604" s="9">
        <f t="shared" si="90"/>
        <v>9942</v>
      </c>
      <c r="I604" s="9">
        <f t="shared" si="90"/>
        <v>20678</v>
      </c>
      <c r="J604" s="6">
        <f t="shared" si="90"/>
        <v>0</v>
      </c>
      <c r="K604" s="9">
        <f t="shared" si="90"/>
        <v>25110</v>
      </c>
      <c r="L604" s="9">
        <f t="shared" si="90"/>
        <v>4670940</v>
      </c>
      <c r="M604" s="9">
        <f t="shared" si="90"/>
        <v>244785</v>
      </c>
      <c r="N604" s="9">
        <f t="shared" si="90"/>
        <v>263235</v>
      </c>
      <c r="O604" s="12"/>
    </row>
    <row r="605" spans="1:14" ht="12.75">
      <c r="A605" s="344">
        <v>5</v>
      </c>
      <c r="B605" s="337">
        <v>1</v>
      </c>
      <c r="C605" s="2" t="s">
        <v>29</v>
      </c>
      <c r="D605" s="2">
        <v>32</v>
      </c>
      <c r="E605" s="3">
        <f>20*D605*30</f>
        <v>19200</v>
      </c>
      <c r="F605" s="2">
        <f>15*D605*30</f>
        <v>14400</v>
      </c>
      <c r="G605" s="2">
        <f>2*D605*30</f>
        <v>1920</v>
      </c>
      <c r="H605" s="3">
        <v>0</v>
      </c>
      <c r="I605" s="2">
        <v>0</v>
      </c>
      <c r="J605" s="6">
        <v>0</v>
      </c>
      <c r="K605" s="3">
        <v>0</v>
      </c>
      <c r="L605" s="2">
        <f>100*D605*30</f>
        <v>96000</v>
      </c>
      <c r="M605" s="2">
        <f>140*D605</f>
        <v>4480</v>
      </c>
      <c r="N605" s="2"/>
    </row>
    <row r="606" spans="1:14" ht="12.75">
      <c r="A606" s="345"/>
      <c r="B606" s="337"/>
      <c r="C606" s="2" t="s">
        <v>36</v>
      </c>
      <c r="D606" s="2">
        <v>64</v>
      </c>
      <c r="E606" s="2">
        <f>15*D606*30</f>
        <v>28800</v>
      </c>
      <c r="F606" s="2">
        <f>20*D606*30</f>
        <v>38400</v>
      </c>
      <c r="G606" s="2">
        <f>2*D606*30</f>
        <v>3840</v>
      </c>
      <c r="H606" s="2">
        <v>0</v>
      </c>
      <c r="I606" s="2">
        <v>0</v>
      </c>
      <c r="J606" s="6">
        <v>0</v>
      </c>
      <c r="K606" s="2">
        <v>0</v>
      </c>
      <c r="L606" s="2">
        <f>100*D606*30</f>
        <v>192000</v>
      </c>
      <c r="M606" s="2">
        <f>140*D606</f>
        <v>8960</v>
      </c>
      <c r="N606" s="2"/>
    </row>
    <row r="607" spans="1:14" ht="12.75">
      <c r="A607" s="345"/>
      <c r="B607" s="337"/>
      <c r="C607" s="2" t="s">
        <v>51</v>
      </c>
      <c r="D607" s="2">
        <v>20</v>
      </c>
      <c r="E607" s="2">
        <f>20*D607*30</f>
        <v>12000</v>
      </c>
      <c r="F607" s="2">
        <f>5*D607*30</f>
        <v>3000</v>
      </c>
      <c r="G607" s="2">
        <f>4*D607*30</f>
        <v>2400</v>
      </c>
      <c r="H607" s="2">
        <v>0</v>
      </c>
      <c r="I607" s="2">
        <v>0</v>
      </c>
      <c r="J607" s="6">
        <v>0</v>
      </c>
      <c r="K607" s="2">
        <v>0</v>
      </c>
      <c r="L607" s="2">
        <f>100*D607*30</f>
        <v>60000</v>
      </c>
      <c r="M607" s="2">
        <f>140*D607</f>
        <v>2800</v>
      </c>
      <c r="N607" s="2"/>
    </row>
    <row r="608" spans="1:14" ht="12.75">
      <c r="A608" s="345"/>
      <c r="B608" s="337"/>
      <c r="C608" s="2" t="s">
        <v>30</v>
      </c>
      <c r="D608" s="2">
        <v>12</v>
      </c>
      <c r="E608" s="3">
        <f>3*D608</f>
        <v>36</v>
      </c>
      <c r="F608" s="2">
        <v>0</v>
      </c>
      <c r="G608" s="2">
        <f>6*D608</f>
        <v>72</v>
      </c>
      <c r="H608" s="2">
        <f>10*D608</f>
        <v>120</v>
      </c>
      <c r="I608" s="2">
        <v>0</v>
      </c>
      <c r="J608" s="6">
        <v>0</v>
      </c>
      <c r="K608" s="2">
        <f>170*D608</f>
        <v>2040</v>
      </c>
      <c r="L608" s="2">
        <f aca="true" t="shared" si="91" ref="L608:L613">18*D608*30</f>
        <v>6480</v>
      </c>
      <c r="M608" s="3">
        <f>60*12</f>
        <v>720</v>
      </c>
      <c r="N608" s="2"/>
    </row>
    <row r="609" spans="1:14" ht="12.75">
      <c r="A609" s="345"/>
      <c r="B609" s="337"/>
      <c r="C609" s="2" t="s">
        <v>32</v>
      </c>
      <c r="D609" s="2">
        <v>2</v>
      </c>
      <c r="E609" s="2">
        <f>14*D609</f>
        <v>28</v>
      </c>
      <c r="F609" s="2">
        <v>0</v>
      </c>
      <c r="G609" s="2">
        <f>9*D609</f>
        <v>18</v>
      </c>
      <c r="H609" s="2">
        <f>45*D609</f>
        <v>90</v>
      </c>
      <c r="I609" s="2">
        <v>0</v>
      </c>
      <c r="J609" s="6">
        <v>0</v>
      </c>
      <c r="K609" s="2">
        <f>90*D609</f>
        <v>180</v>
      </c>
      <c r="L609" s="2">
        <f t="shared" si="91"/>
        <v>1080</v>
      </c>
      <c r="M609" s="3">
        <f>75+1.5*30*D609</f>
        <v>165</v>
      </c>
      <c r="N609" s="2"/>
    </row>
    <row r="610" spans="1:14" ht="12.75">
      <c r="A610" s="345"/>
      <c r="B610" s="337"/>
      <c r="C610" s="2" t="s">
        <v>34</v>
      </c>
      <c r="D610" s="2">
        <v>2</v>
      </c>
      <c r="E610" s="2">
        <f>15*D610</f>
        <v>30</v>
      </c>
      <c r="F610" s="2">
        <v>0</v>
      </c>
      <c r="G610" s="2">
        <f>13*D610</f>
        <v>26</v>
      </c>
      <c r="H610" s="2">
        <f>72*D610</f>
        <v>144</v>
      </c>
      <c r="I610" s="2">
        <v>0</v>
      </c>
      <c r="J610" s="6">
        <v>0</v>
      </c>
      <c r="K610" s="2">
        <v>0</v>
      </c>
      <c r="L610" s="2">
        <f t="shared" si="91"/>
        <v>1080</v>
      </c>
      <c r="M610" s="2">
        <f>1.5*30*D610</f>
        <v>90</v>
      </c>
      <c r="N610" s="2"/>
    </row>
    <row r="611" spans="1:14" ht="12.75">
      <c r="A611" s="345"/>
      <c r="B611" s="337"/>
      <c r="C611" s="2" t="s">
        <v>37</v>
      </c>
      <c r="D611" s="2">
        <v>2</v>
      </c>
      <c r="E611" s="2">
        <f>21*D611</f>
        <v>42</v>
      </c>
      <c r="F611" s="3">
        <v>0</v>
      </c>
      <c r="G611" s="2">
        <f>21*D611</f>
        <v>42</v>
      </c>
      <c r="H611" s="2">
        <f>80*D611</f>
        <v>160</v>
      </c>
      <c r="I611" s="3">
        <v>0</v>
      </c>
      <c r="J611" s="6">
        <v>0</v>
      </c>
      <c r="K611" s="3">
        <v>0</v>
      </c>
      <c r="L611" s="2">
        <f t="shared" si="91"/>
        <v>1080</v>
      </c>
      <c r="M611" s="2">
        <f>1.5*30*D611</f>
        <v>90</v>
      </c>
      <c r="N611" s="2"/>
    </row>
    <row r="612" spans="1:14" ht="12.75">
      <c r="A612" s="345"/>
      <c r="B612" s="337"/>
      <c r="C612" s="2" t="s">
        <v>39</v>
      </c>
      <c r="D612" s="2">
        <v>2</v>
      </c>
      <c r="E612" s="2">
        <f>24*D612</f>
        <v>48</v>
      </c>
      <c r="F612" s="2">
        <f>20*D612</f>
        <v>40</v>
      </c>
      <c r="G612" s="2">
        <f>25*D612</f>
        <v>50</v>
      </c>
      <c r="H612" s="2">
        <f>83*D612</f>
        <v>166</v>
      </c>
      <c r="I612" s="2">
        <v>0</v>
      </c>
      <c r="J612" s="6">
        <v>0</v>
      </c>
      <c r="K612" s="2">
        <v>0</v>
      </c>
      <c r="L612" s="2">
        <f t="shared" si="91"/>
        <v>1080</v>
      </c>
      <c r="M612" s="2">
        <f>1.5*30*D612</f>
        <v>90</v>
      </c>
      <c r="N612" s="2"/>
    </row>
    <row r="613" spans="1:14" ht="12.75">
      <c r="A613" s="345"/>
      <c r="B613" s="337"/>
      <c r="C613" s="2" t="s">
        <v>42</v>
      </c>
      <c r="D613" s="2">
        <v>2</v>
      </c>
      <c r="E613" s="2">
        <f>58*D613</f>
        <v>116</v>
      </c>
      <c r="F613" s="2">
        <f>44*D613</f>
        <v>88</v>
      </c>
      <c r="G613" s="2">
        <f>135*D613</f>
        <v>270</v>
      </c>
      <c r="H613" s="2">
        <f>78*D613</f>
        <v>156</v>
      </c>
      <c r="I613" s="2">
        <v>0</v>
      </c>
      <c r="J613" s="6">
        <v>0</v>
      </c>
      <c r="K613" s="2">
        <v>0</v>
      </c>
      <c r="L613" s="2">
        <f t="shared" si="91"/>
        <v>1080</v>
      </c>
      <c r="M613" s="2">
        <f>100+1.5*30*D613</f>
        <v>190</v>
      </c>
      <c r="N613" s="2"/>
    </row>
    <row r="614" spans="1:14" ht="12.75">
      <c r="A614" s="345"/>
      <c r="B614" s="337"/>
      <c r="C614" s="2" t="s">
        <v>48</v>
      </c>
      <c r="D614" s="2">
        <v>6</v>
      </c>
      <c r="E614" s="2">
        <f>165*D614</f>
        <v>990</v>
      </c>
      <c r="F614" s="2">
        <f>105*D614</f>
        <v>630</v>
      </c>
      <c r="G614" s="2">
        <f>45*D614</f>
        <v>270</v>
      </c>
      <c r="H614" s="2">
        <v>0</v>
      </c>
      <c r="I614" s="2">
        <f>75*D614</f>
        <v>450</v>
      </c>
      <c r="J614" s="6">
        <v>0</v>
      </c>
      <c r="K614" s="2">
        <v>0</v>
      </c>
      <c r="L614" s="2">
        <f>24*D614*30</f>
        <v>4320</v>
      </c>
      <c r="M614" s="2">
        <f aca="true" t="shared" si="92" ref="M614:M619">3*30*D614</f>
        <v>540</v>
      </c>
      <c r="N614" s="2"/>
    </row>
    <row r="615" spans="1:14" ht="12.75">
      <c r="A615" s="345"/>
      <c r="B615" s="337"/>
      <c r="C615" s="2" t="s">
        <v>52</v>
      </c>
      <c r="D615" s="2">
        <v>6</v>
      </c>
      <c r="E615" s="2">
        <f>195*D615</f>
        <v>1170</v>
      </c>
      <c r="F615" s="2">
        <f>150*D615</f>
        <v>900</v>
      </c>
      <c r="G615" s="2">
        <f>135*D615</f>
        <v>810</v>
      </c>
      <c r="H615" s="2">
        <v>0</v>
      </c>
      <c r="I615" s="2">
        <f>60*D615</f>
        <v>360</v>
      </c>
      <c r="J615" s="6">
        <v>0</v>
      </c>
      <c r="K615" s="2">
        <v>0</v>
      </c>
      <c r="L615" s="2">
        <f>24*D615*30</f>
        <v>4320</v>
      </c>
      <c r="M615" s="2">
        <f t="shared" si="92"/>
        <v>540</v>
      </c>
      <c r="N615" s="2"/>
    </row>
    <row r="616" spans="1:14" ht="12.75">
      <c r="A616" s="345"/>
      <c r="B616" s="337"/>
      <c r="C616" s="2" t="s">
        <v>55</v>
      </c>
      <c r="D616" s="2">
        <v>6</v>
      </c>
      <c r="E616" s="2">
        <f>240*D616</f>
        <v>1440</v>
      </c>
      <c r="F616" s="2">
        <f>195*D616</f>
        <v>1170</v>
      </c>
      <c r="G616" s="2">
        <f>45*D616</f>
        <v>270</v>
      </c>
      <c r="H616" s="2">
        <v>0</v>
      </c>
      <c r="I616" s="2">
        <f>60*D616</f>
        <v>360</v>
      </c>
      <c r="J616" s="6">
        <v>0</v>
      </c>
      <c r="K616" s="2">
        <v>0</v>
      </c>
      <c r="L616" s="2">
        <f>30*D616*30</f>
        <v>5400</v>
      </c>
      <c r="M616" s="2">
        <f t="shared" si="92"/>
        <v>540</v>
      </c>
      <c r="N616" s="2"/>
    </row>
    <row r="617" spans="1:14" ht="12.75">
      <c r="A617" s="345"/>
      <c r="B617" s="337"/>
      <c r="C617" s="2" t="s">
        <v>59</v>
      </c>
      <c r="D617" s="2">
        <v>6</v>
      </c>
      <c r="E617" s="2">
        <f>255*D617</f>
        <v>1530</v>
      </c>
      <c r="F617" s="2">
        <f>210*D617</f>
        <v>1260</v>
      </c>
      <c r="G617" s="2">
        <f>60*D617</f>
        <v>360</v>
      </c>
      <c r="H617" s="2">
        <v>0</v>
      </c>
      <c r="I617" s="2">
        <f>51*D617</f>
        <v>306</v>
      </c>
      <c r="J617" s="6">
        <v>0</v>
      </c>
      <c r="K617" s="2">
        <v>0</v>
      </c>
      <c r="L617" s="2">
        <f>35*D617*30</f>
        <v>6300</v>
      </c>
      <c r="M617" s="2">
        <f t="shared" si="92"/>
        <v>540</v>
      </c>
      <c r="N617" s="2"/>
    </row>
    <row r="618" spans="1:14" ht="12.75">
      <c r="A618" s="345"/>
      <c r="B618" s="337"/>
      <c r="C618" s="2" t="s">
        <v>65</v>
      </c>
      <c r="D618" s="2">
        <v>6</v>
      </c>
      <c r="E618" s="2">
        <f>270*D618</f>
        <v>1620</v>
      </c>
      <c r="F618" s="2">
        <f>220*D618</f>
        <v>1320</v>
      </c>
      <c r="G618" s="2">
        <f>60*D618</f>
        <v>360</v>
      </c>
      <c r="H618" s="2">
        <v>0</v>
      </c>
      <c r="I618" s="2">
        <f>56*D618</f>
        <v>336</v>
      </c>
      <c r="J618" s="6">
        <v>0</v>
      </c>
      <c r="K618" s="2">
        <v>0</v>
      </c>
      <c r="L618" s="2">
        <f>40*D618*30</f>
        <v>7200</v>
      </c>
      <c r="M618" s="2">
        <f t="shared" si="92"/>
        <v>540</v>
      </c>
      <c r="N618" s="2"/>
    </row>
    <row r="619" spans="1:14" ht="12.75">
      <c r="A619" s="345"/>
      <c r="B619" s="337"/>
      <c r="C619" s="2" t="s">
        <v>70</v>
      </c>
      <c r="D619" s="2">
        <v>6</v>
      </c>
      <c r="E619" s="2">
        <f>270*D619</f>
        <v>1620</v>
      </c>
      <c r="F619" s="2">
        <f>220*D619</f>
        <v>1320</v>
      </c>
      <c r="G619" s="2">
        <f>75*D619</f>
        <v>450</v>
      </c>
      <c r="H619" s="2">
        <v>0</v>
      </c>
      <c r="I619" s="2">
        <f>60*D619</f>
        <v>360</v>
      </c>
      <c r="J619" s="6">
        <v>0</v>
      </c>
      <c r="K619" s="2">
        <v>0</v>
      </c>
      <c r="L619" s="2">
        <f>40*D619*30</f>
        <v>7200</v>
      </c>
      <c r="M619" s="2">
        <f t="shared" si="92"/>
        <v>540</v>
      </c>
      <c r="N619" s="2"/>
    </row>
    <row r="620" spans="1:14" ht="12.75">
      <c r="A620" s="345"/>
      <c r="B620" s="337"/>
      <c r="C620" s="2" t="s">
        <v>83</v>
      </c>
      <c r="D620" s="2">
        <v>4</v>
      </c>
      <c r="E620" s="2">
        <f>255*D620</f>
        <v>1020</v>
      </c>
      <c r="F620" s="2">
        <f>210*D620</f>
        <v>840</v>
      </c>
      <c r="G620" s="2">
        <f>60*D620</f>
        <v>240</v>
      </c>
      <c r="H620" s="2">
        <v>0</v>
      </c>
      <c r="I620" s="2">
        <v>0</v>
      </c>
      <c r="J620" s="6">
        <v>0</v>
      </c>
      <c r="K620" s="2">
        <v>0</v>
      </c>
      <c r="L620" s="2">
        <f>40*D620*30</f>
        <v>4800</v>
      </c>
      <c r="M620" s="2">
        <f>140*D620</f>
        <v>560</v>
      </c>
      <c r="N620" s="2"/>
    </row>
    <row r="621" spans="1:14" ht="12.75">
      <c r="A621" s="345"/>
      <c r="B621" s="332" t="s">
        <v>60</v>
      </c>
      <c r="C621" s="333"/>
      <c r="D621" s="4">
        <f>SUM(D605:D620)</f>
        <v>178</v>
      </c>
      <c r="E621" s="4">
        <f aca="true" t="shared" si="93" ref="E621:L621">SUM(E605:E620)</f>
        <v>69690</v>
      </c>
      <c r="F621" s="4">
        <f t="shared" si="93"/>
        <v>63368</v>
      </c>
      <c r="G621" s="4">
        <f t="shared" si="93"/>
        <v>11398</v>
      </c>
      <c r="H621" s="4">
        <f t="shared" si="93"/>
        <v>836</v>
      </c>
      <c r="I621" s="4">
        <f t="shared" si="93"/>
        <v>2172</v>
      </c>
      <c r="J621" s="6">
        <f t="shared" si="93"/>
        <v>0</v>
      </c>
      <c r="K621" s="4">
        <f t="shared" si="93"/>
        <v>2220</v>
      </c>
      <c r="L621" s="4">
        <f t="shared" si="93"/>
        <v>399420</v>
      </c>
      <c r="M621" s="4">
        <f>SUM(M605:M620)</f>
        <v>21385</v>
      </c>
      <c r="N621" s="4">
        <f>40*12+150*2+5*12*14+M621</f>
        <v>23005</v>
      </c>
    </row>
    <row r="622" spans="1:14" ht="12.75">
      <c r="A622" s="346"/>
      <c r="B622" s="328" t="s">
        <v>80</v>
      </c>
      <c r="C622" s="329"/>
      <c r="D622" s="329"/>
      <c r="E622" s="330"/>
      <c r="F622" s="2"/>
      <c r="G622" s="2"/>
      <c r="H622" s="2"/>
      <c r="I622" s="2"/>
      <c r="J622" s="6"/>
      <c r="K622" s="2"/>
      <c r="L622" s="2"/>
      <c r="M622" s="2"/>
      <c r="N622" s="2"/>
    </row>
    <row r="623" spans="1:14" ht="12.75">
      <c r="A623" s="338" t="s">
        <v>81</v>
      </c>
      <c r="B623" s="339"/>
      <c r="C623" s="340"/>
      <c r="D623" s="10"/>
      <c r="E623" s="10">
        <f>E621*12</f>
        <v>836280</v>
      </c>
      <c r="F623" s="10">
        <f aca="true" t="shared" si="94" ref="F623:N623">F621*12</f>
        <v>760416</v>
      </c>
      <c r="G623" s="10">
        <f t="shared" si="94"/>
        <v>136776</v>
      </c>
      <c r="H623" s="10">
        <f t="shared" si="94"/>
        <v>10032</v>
      </c>
      <c r="I623" s="10">
        <f t="shared" si="94"/>
        <v>26064</v>
      </c>
      <c r="J623" s="6">
        <f t="shared" si="94"/>
        <v>0</v>
      </c>
      <c r="K623" s="10">
        <f t="shared" si="94"/>
        <v>26640</v>
      </c>
      <c r="L623" s="10">
        <f t="shared" si="94"/>
        <v>4793040</v>
      </c>
      <c r="M623" s="10">
        <f t="shared" si="94"/>
        <v>256620</v>
      </c>
      <c r="N623" s="10">
        <f t="shared" si="94"/>
        <v>276060</v>
      </c>
    </row>
    <row r="624" spans="1:11" ht="12.75">
      <c r="A624" s="331" t="s">
        <v>82</v>
      </c>
      <c r="B624" s="331"/>
      <c r="C624" s="331"/>
      <c r="D624" s="331"/>
      <c r="E624" s="331"/>
      <c r="F624" s="331"/>
      <c r="G624" s="331"/>
      <c r="H624" s="331"/>
      <c r="I624" s="331"/>
      <c r="J624" s="331"/>
      <c r="K624" s="11"/>
    </row>
  </sheetData>
  <sheetProtection/>
  <mergeCells count="116">
    <mergeCell ref="B36:C36"/>
    <mergeCell ref="B21:B23"/>
    <mergeCell ref="B103:C103"/>
    <mergeCell ref="B80:C80"/>
    <mergeCell ref="B16:C16"/>
    <mergeCell ref="B17:B19"/>
    <mergeCell ref="B20:C20"/>
    <mergeCell ref="B25:B29"/>
    <mergeCell ref="B24:C24"/>
    <mergeCell ref="B30:C30"/>
    <mergeCell ref="B31:B35"/>
    <mergeCell ref="B3:B4"/>
    <mergeCell ref="C3:C4"/>
    <mergeCell ref="D3:D4"/>
    <mergeCell ref="B13:B15"/>
    <mergeCell ref="A61:C61"/>
    <mergeCell ref="B81:B90"/>
    <mergeCell ref="M3:N3"/>
    <mergeCell ref="B7:B8"/>
    <mergeCell ref="B9:C9"/>
    <mergeCell ref="B12:C12"/>
    <mergeCell ref="E3:K3"/>
    <mergeCell ref="L3:L4"/>
    <mergeCell ref="B10:B11"/>
    <mergeCell ref="A3:A4"/>
    <mergeCell ref="B52:B59"/>
    <mergeCell ref="B60:C60"/>
    <mergeCell ref="B37:B42"/>
    <mergeCell ref="B43:C43"/>
    <mergeCell ref="B44:B49"/>
    <mergeCell ref="B51:C51"/>
    <mergeCell ref="B91:C91"/>
    <mergeCell ref="B92:B102"/>
    <mergeCell ref="B62:B69"/>
    <mergeCell ref="B70:C70"/>
    <mergeCell ref="B71:B79"/>
    <mergeCell ref="B104:B113"/>
    <mergeCell ref="B115:B125"/>
    <mergeCell ref="B126:C126"/>
    <mergeCell ref="B127:B137"/>
    <mergeCell ref="B138:C138"/>
    <mergeCell ref="B139:B150"/>
    <mergeCell ref="B151:C151"/>
    <mergeCell ref="B152:B163"/>
    <mergeCell ref="A207:A297"/>
    <mergeCell ref="B266:B280"/>
    <mergeCell ref="B281:C281"/>
    <mergeCell ref="B178:B190"/>
    <mergeCell ref="B282:B296"/>
    <mergeCell ref="B365:B380"/>
    <mergeCell ref="B381:C381"/>
    <mergeCell ref="B348:B363"/>
    <mergeCell ref="A206:C206"/>
    <mergeCell ref="B251:B264"/>
    <mergeCell ref="B207:B219"/>
    <mergeCell ref="B220:C220"/>
    <mergeCell ref="B221:B233"/>
    <mergeCell ref="A298:A398"/>
    <mergeCell ref="B236:B249"/>
    <mergeCell ref="B502:B517"/>
    <mergeCell ref="B450:C450"/>
    <mergeCell ref="B451:B466"/>
    <mergeCell ref="B382:B397"/>
    <mergeCell ref="B400:B415"/>
    <mergeCell ref="B416:C416"/>
    <mergeCell ref="B417:B432"/>
    <mergeCell ref="B433:C433"/>
    <mergeCell ref="A399:C399"/>
    <mergeCell ref="B398:C398"/>
    <mergeCell ref="A400:A501"/>
    <mergeCell ref="B434:B449"/>
    <mergeCell ref="B501:C501"/>
    <mergeCell ref="B467:C467"/>
    <mergeCell ref="B468:B483"/>
    <mergeCell ref="B484:C484"/>
    <mergeCell ref="B485:B500"/>
    <mergeCell ref="B586:C586"/>
    <mergeCell ref="B587:B602"/>
    <mergeCell ref="B553:B568"/>
    <mergeCell ref="B518:C518"/>
    <mergeCell ref="B519:B534"/>
    <mergeCell ref="B535:C535"/>
    <mergeCell ref="B536:B551"/>
    <mergeCell ref="B569:C569"/>
    <mergeCell ref="B570:B585"/>
    <mergeCell ref="B235:C235"/>
    <mergeCell ref="B331:B346"/>
    <mergeCell ref="B347:C347"/>
    <mergeCell ref="B314:B329"/>
    <mergeCell ref="B313:C313"/>
    <mergeCell ref="B298:B312"/>
    <mergeCell ref="B250:C250"/>
    <mergeCell ref="B364:C364"/>
    <mergeCell ref="B330:C330"/>
    <mergeCell ref="B297:C297"/>
    <mergeCell ref="B265:C265"/>
    <mergeCell ref="A1:H1"/>
    <mergeCell ref="A5:A60"/>
    <mergeCell ref="A62:A151"/>
    <mergeCell ref="A152:A205"/>
    <mergeCell ref="B205:C205"/>
    <mergeCell ref="B164:C164"/>
    <mergeCell ref="B165:B176"/>
    <mergeCell ref="B191:C191"/>
    <mergeCell ref="B192:B204"/>
    <mergeCell ref="B177:C177"/>
    <mergeCell ref="B622:E622"/>
    <mergeCell ref="A624:J624"/>
    <mergeCell ref="B603:C603"/>
    <mergeCell ref="B621:C621"/>
    <mergeCell ref="A604:C604"/>
    <mergeCell ref="B605:B620"/>
    <mergeCell ref="A623:C623"/>
    <mergeCell ref="A502:A603"/>
    <mergeCell ref="A605:A622"/>
    <mergeCell ref="B552:C55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4" r:id="rId3"/>
  <rowBreaks count="7" manualBreakCount="7">
    <brk id="61" max="255" man="1"/>
    <brk id="151" max="255" man="1"/>
    <brk id="206" max="255" man="1"/>
    <brk id="297" max="255" man="1"/>
    <brk id="399" max="255" man="1"/>
    <brk id="501" max="13" man="1"/>
    <brk id="60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548"/>
  <sheetViews>
    <sheetView view="pageBreakPreview" zoomScale="85" zoomScaleSheetLayoutView="85" zoomScalePageLayoutView="0" workbookViewId="0" topLeftCell="A1">
      <pane xSplit="2" ySplit="4" topLeftCell="C26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33" sqref="N133"/>
    </sheetView>
  </sheetViews>
  <sheetFormatPr defaultColWidth="9.140625" defaultRowHeight="12.75"/>
  <cols>
    <col min="2" max="2" width="9.8515625" style="0" customWidth="1"/>
    <col min="5" max="5" width="9.8515625" style="0" customWidth="1"/>
    <col min="6" max="6" width="10.00390625" style="0" customWidth="1"/>
    <col min="18" max="18" width="12.421875" style="0" customWidth="1"/>
  </cols>
  <sheetData>
    <row r="1" spans="1:10" ht="12.75">
      <c r="A1" s="347" t="s">
        <v>247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ht="12.75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8" ht="12.75" customHeight="1">
      <c r="A3" s="360" t="s">
        <v>0</v>
      </c>
      <c r="B3" s="360" t="s">
        <v>1</v>
      </c>
      <c r="C3" s="360" t="s">
        <v>84</v>
      </c>
      <c r="D3" s="360"/>
      <c r="E3" s="360"/>
      <c r="F3" s="360"/>
      <c r="G3" s="360"/>
      <c r="H3" s="360"/>
      <c r="I3" s="360"/>
      <c r="J3" s="360"/>
      <c r="K3" s="360" t="s">
        <v>148</v>
      </c>
      <c r="L3" s="360"/>
      <c r="M3" s="360"/>
      <c r="N3" s="360" t="s">
        <v>85</v>
      </c>
      <c r="O3" s="360"/>
      <c r="P3" s="360"/>
      <c r="Q3" s="360"/>
      <c r="R3" s="363" t="s">
        <v>182</v>
      </c>
    </row>
    <row r="4" spans="1:18" ht="63.75">
      <c r="A4" s="360"/>
      <c r="B4" s="360"/>
      <c r="C4" s="15" t="s">
        <v>86</v>
      </c>
      <c r="D4" s="15" t="s">
        <v>87</v>
      </c>
      <c r="E4" s="15" t="s">
        <v>88</v>
      </c>
      <c r="F4" s="15" t="s">
        <v>89</v>
      </c>
      <c r="G4" s="15" t="s">
        <v>90</v>
      </c>
      <c r="H4" s="15" t="s">
        <v>91</v>
      </c>
      <c r="I4" s="144" t="s">
        <v>180</v>
      </c>
      <c r="J4" s="144" t="s">
        <v>181</v>
      </c>
      <c r="K4" s="15" t="s">
        <v>92</v>
      </c>
      <c r="L4" s="144" t="s">
        <v>179</v>
      </c>
      <c r="M4" s="144" t="s">
        <v>181</v>
      </c>
      <c r="N4" s="15" t="s">
        <v>92</v>
      </c>
      <c r="O4" s="15" t="s">
        <v>93</v>
      </c>
      <c r="P4" s="144" t="s">
        <v>94</v>
      </c>
      <c r="Q4" s="144" t="s">
        <v>181</v>
      </c>
      <c r="R4" s="360"/>
    </row>
    <row r="5" spans="1:18" ht="12.75">
      <c r="A5" s="16">
        <v>1</v>
      </c>
      <c r="B5" s="1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6"/>
      <c r="B6" s="1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16"/>
      <c r="B7" s="1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16"/>
      <c r="B8" s="1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16"/>
      <c r="B9" s="1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 customHeight="1">
      <c r="A10" s="16"/>
      <c r="B10" s="1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16"/>
      <c r="B11" s="1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16"/>
      <c r="B12" s="17">
        <v>8</v>
      </c>
      <c r="C12" s="4">
        <v>1</v>
      </c>
      <c r="D12" s="4">
        <v>1</v>
      </c>
      <c r="E12" s="4">
        <v>12</v>
      </c>
      <c r="F12" s="4">
        <f>E12*30</f>
        <v>360</v>
      </c>
      <c r="G12" s="4">
        <v>18</v>
      </c>
      <c r="H12" s="4">
        <f>G12*F12</f>
        <v>6480</v>
      </c>
      <c r="I12" s="4">
        <v>17</v>
      </c>
      <c r="J12" s="4">
        <f>I12*H12/1000</f>
        <v>110.16</v>
      </c>
      <c r="K12" s="4">
        <v>15</v>
      </c>
      <c r="L12" s="4">
        <v>2000</v>
      </c>
      <c r="M12" s="4">
        <f>L12*K12/1000</f>
        <v>30</v>
      </c>
      <c r="N12" s="4"/>
      <c r="O12" s="4"/>
      <c r="P12" s="4"/>
      <c r="Q12" s="4"/>
      <c r="R12" s="4">
        <f>J12+M12+Q12</f>
        <v>140.16</v>
      </c>
    </row>
    <row r="13" spans="1:18" ht="12.75">
      <c r="A13" s="16"/>
      <c r="B13" s="371">
        <v>9</v>
      </c>
      <c r="C13" s="2">
        <v>1</v>
      </c>
      <c r="D13" s="2">
        <v>1</v>
      </c>
      <c r="E13" s="2">
        <v>12</v>
      </c>
      <c r="F13" s="3">
        <f aca="true" t="shared" si="0" ref="F13:F23">E13*30</f>
        <v>360</v>
      </c>
      <c r="G13" s="2">
        <v>18</v>
      </c>
      <c r="H13" s="2">
        <f>G13*F13</f>
        <v>6480</v>
      </c>
      <c r="I13" s="2"/>
      <c r="J13" s="2"/>
      <c r="K13" s="2"/>
      <c r="L13" s="2"/>
      <c r="M13" s="2"/>
      <c r="N13" s="2"/>
      <c r="O13" s="2"/>
      <c r="P13" s="2"/>
      <c r="Q13" s="2"/>
      <c r="R13" s="3"/>
    </row>
    <row r="14" spans="1:18" ht="12.75">
      <c r="A14" s="16"/>
      <c r="B14" s="362"/>
      <c r="C14" s="2">
        <v>1</v>
      </c>
      <c r="D14" s="2">
        <v>2</v>
      </c>
      <c r="E14" s="2">
        <v>18</v>
      </c>
      <c r="F14" s="3">
        <f t="shared" si="0"/>
        <v>540</v>
      </c>
      <c r="G14" s="2">
        <v>18</v>
      </c>
      <c r="H14" s="2">
        <f>G14*F14</f>
        <v>9720</v>
      </c>
      <c r="I14" s="2"/>
      <c r="J14" s="2"/>
      <c r="K14" s="2"/>
      <c r="L14" s="2"/>
      <c r="M14" s="2"/>
      <c r="N14" s="2"/>
      <c r="O14" s="2"/>
      <c r="P14" s="2"/>
      <c r="Q14" s="2"/>
      <c r="R14" s="3"/>
    </row>
    <row r="15" spans="1:18" ht="12.75">
      <c r="A15" s="16"/>
      <c r="B15" s="366" t="s">
        <v>95</v>
      </c>
      <c r="C15" s="367"/>
      <c r="D15" s="4"/>
      <c r="E15" s="4"/>
      <c r="F15" s="4"/>
      <c r="G15" s="4">
        <f>SUM(G13:G14)</f>
        <v>36</v>
      </c>
      <c r="H15" s="4">
        <f>H14+H13</f>
        <v>16200</v>
      </c>
      <c r="I15" s="4">
        <v>17</v>
      </c>
      <c r="J15" s="4">
        <f>I15*H15/1000</f>
        <v>275.4</v>
      </c>
      <c r="K15" s="4">
        <v>15</v>
      </c>
      <c r="L15" s="4">
        <v>2000</v>
      </c>
      <c r="M15" s="4">
        <f>L15*K15/1000</f>
        <v>30</v>
      </c>
      <c r="N15" s="4"/>
      <c r="O15" s="4"/>
      <c r="P15" s="4"/>
      <c r="Q15" s="4"/>
      <c r="R15" s="4">
        <f>J15+M15+Q15</f>
        <v>305.4</v>
      </c>
    </row>
    <row r="16" spans="1:18" ht="12.75">
      <c r="A16" s="16"/>
      <c r="B16" s="371">
        <v>10</v>
      </c>
      <c r="C16" s="2">
        <v>1</v>
      </c>
      <c r="D16" s="2">
        <v>1</v>
      </c>
      <c r="E16" s="2">
        <v>12</v>
      </c>
      <c r="F16" s="3">
        <f t="shared" si="0"/>
        <v>360</v>
      </c>
      <c r="G16" s="2">
        <v>18</v>
      </c>
      <c r="H16" s="2">
        <f>G16*F16</f>
        <v>6480</v>
      </c>
      <c r="I16" s="2"/>
      <c r="J16" s="2"/>
      <c r="K16" s="2"/>
      <c r="L16" s="2"/>
      <c r="M16" s="2"/>
      <c r="N16" s="2"/>
      <c r="O16" s="2"/>
      <c r="P16" s="2"/>
      <c r="Q16" s="2"/>
      <c r="R16" s="3"/>
    </row>
    <row r="17" spans="1:18" ht="12.75">
      <c r="A17" s="16"/>
      <c r="B17" s="361"/>
      <c r="C17" s="2">
        <v>1</v>
      </c>
      <c r="D17" s="2">
        <v>2</v>
      </c>
      <c r="E17" s="2">
        <v>18</v>
      </c>
      <c r="F17" s="3">
        <f t="shared" si="0"/>
        <v>540</v>
      </c>
      <c r="G17" s="2">
        <v>18</v>
      </c>
      <c r="H17" s="2">
        <f>G17*F17</f>
        <v>9720</v>
      </c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1:18" ht="12.75">
      <c r="A18" s="16"/>
      <c r="B18" s="362"/>
      <c r="C18" s="2">
        <v>1</v>
      </c>
      <c r="D18" s="2">
        <v>3</v>
      </c>
      <c r="E18" s="2">
        <v>18</v>
      </c>
      <c r="F18" s="3">
        <f t="shared" si="0"/>
        <v>540</v>
      </c>
      <c r="G18" s="2">
        <v>18</v>
      </c>
      <c r="H18" s="2">
        <f>G18*F18</f>
        <v>9720</v>
      </c>
      <c r="I18" s="2"/>
      <c r="J18" s="2"/>
      <c r="K18" s="2"/>
      <c r="L18" s="2"/>
      <c r="M18" s="2"/>
      <c r="N18" s="2"/>
      <c r="O18" s="2"/>
      <c r="P18" s="2"/>
      <c r="Q18" s="2"/>
      <c r="R18" s="3"/>
    </row>
    <row r="19" spans="1:18" ht="12.75">
      <c r="A19" s="16"/>
      <c r="B19" s="366" t="s">
        <v>96</v>
      </c>
      <c r="C19" s="367"/>
      <c r="D19" s="4"/>
      <c r="E19" s="4"/>
      <c r="F19" s="4"/>
      <c r="G19" s="4">
        <f>SUM(G16:G18)</f>
        <v>54</v>
      </c>
      <c r="H19" s="4">
        <f>H18+H17+H16</f>
        <v>25920</v>
      </c>
      <c r="I19" s="4">
        <v>17</v>
      </c>
      <c r="J19" s="4">
        <f>I19*H19/1000</f>
        <v>440.64</v>
      </c>
      <c r="K19" s="4">
        <v>15</v>
      </c>
      <c r="L19" s="4">
        <v>2000</v>
      </c>
      <c r="M19" s="4">
        <f>L19*K19/1000</f>
        <v>30</v>
      </c>
      <c r="N19" s="4"/>
      <c r="O19" s="4"/>
      <c r="P19" s="4"/>
      <c r="Q19" s="4"/>
      <c r="R19" s="4">
        <f>J19+M19+Q19</f>
        <v>470.64</v>
      </c>
    </row>
    <row r="20" spans="1:18" ht="12.75">
      <c r="A20" s="16"/>
      <c r="B20" s="371">
        <v>11</v>
      </c>
      <c r="C20" s="2">
        <v>1</v>
      </c>
      <c r="D20" s="2">
        <v>1</v>
      </c>
      <c r="E20" s="2">
        <v>12</v>
      </c>
      <c r="F20" s="3">
        <f t="shared" si="0"/>
        <v>360</v>
      </c>
      <c r="G20" s="2">
        <v>18</v>
      </c>
      <c r="H20" s="2">
        <f>G20*F20</f>
        <v>6480</v>
      </c>
      <c r="I20" s="2"/>
      <c r="J20" s="2"/>
      <c r="K20" s="2"/>
      <c r="L20" s="2"/>
      <c r="M20" s="2"/>
      <c r="N20" s="2"/>
      <c r="O20" s="2"/>
      <c r="P20" s="2"/>
      <c r="Q20" s="2"/>
      <c r="R20" s="3"/>
    </row>
    <row r="21" spans="1:18" ht="12.75">
      <c r="A21" s="16"/>
      <c r="B21" s="361"/>
      <c r="C21" s="2">
        <v>1</v>
      </c>
      <c r="D21" s="2">
        <v>2</v>
      </c>
      <c r="E21" s="2">
        <v>18</v>
      </c>
      <c r="F21" s="3">
        <f t="shared" si="0"/>
        <v>540</v>
      </c>
      <c r="G21" s="2">
        <v>18</v>
      </c>
      <c r="H21" s="2">
        <f>G21*F21</f>
        <v>9720</v>
      </c>
      <c r="I21" s="2"/>
      <c r="J21" s="2"/>
      <c r="K21" s="2"/>
      <c r="L21" s="2"/>
      <c r="M21" s="2"/>
      <c r="N21" s="2"/>
      <c r="O21" s="2"/>
      <c r="P21" s="2"/>
      <c r="Q21" s="2"/>
      <c r="R21" s="3"/>
    </row>
    <row r="22" spans="1:18" ht="12.75">
      <c r="A22" s="16"/>
      <c r="B22" s="361"/>
      <c r="C22" s="2">
        <v>1</v>
      </c>
      <c r="D22" s="2">
        <v>3</v>
      </c>
      <c r="E22" s="2">
        <v>18</v>
      </c>
      <c r="F22" s="3">
        <f t="shared" si="0"/>
        <v>540</v>
      </c>
      <c r="G22" s="2">
        <v>18</v>
      </c>
      <c r="H22" s="2">
        <f>G22*F22</f>
        <v>9720</v>
      </c>
      <c r="I22" s="2"/>
      <c r="J22" s="2"/>
      <c r="K22" s="2"/>
      <c r="L22" s="2"/>
      <c r="M22" s="2"/>
      <c r="N22" s="2"/>
      <c r="O22" s="2"/>
      <c r="P22" s="2"/>
      <c r="Q22" s="2"/>
      <c r="R22" s="3"/>
    </row>
    <row r="23" spans="1:18" ht="12.75">
      <c r="A23" s="16"/>
      <c r="B23" s="362"/>
      <c r="C23" s="2">
        <v>1</v>
      </c>
      <c r="D23" s="2">
        <v>4</v>
      </c>
      <c r="E23" s="2">
        <v>17</v>
      </c>
      <c r="F23" s="3">
        <f t="shared" si="0"/>
        <v>510</v>
      </c>
      <c r="G23" s="2">
        <v>18</v>
      </c>
      <c r="H23" s="2">
        <f>G23*F23</f>
        <v>9180</v>
      </c>
      <c r="I23" s="2"/>
      <c r="J23" s="2"/>
      <c r="K23" s="2"/>
      <c r="L23" s="2"/>
      <c r="M23" s="2"/>
      <c r="N23" s="2"/>
      <c r="O23" s="2"/>
      <c r="P23" s="2"/>
      <c r="Q23" s="2"/>
      <c r="R23" s="3"/>
    </row>
    <row r="24" spans="1:18" ht="12.75">
      <c r="A24" s="16"/>
      <c r="B24" s="366" t="s">
        <v>97</v>
      </c>
      <c r="C24" s="367"/>
      <c r="D24" s="4"/>
      <c r="E24" s="4"/>
      <c r="F24" s="4"/>
      <c r="G24" s="4">
        <f>SUM(G20:G23)</f>
        <v>72</v>
      </c>
      <c r="H24" s="4">
        <f>SUM(H20:H23)</f>
        <v>35100</v>
      </c>
      <c r="I24" s="4">
        <v>17</v>
      </c>
      <c r="J24" s="4">
        <f>I24*H24/1000</f>
        <v>596.7</v>
      </c>
      <c r="K24" s="4">
        <v>15</v>
      </c>
      <c r="L24" s="4">
        <v>2000</v>
      </c>
      <c r="M24" s="4">
        <f>L24*K24/1000</f>
        <v>30</v>
      </c>
      <c r="N24" s="4"/>
      <c r="O24" s="4"/>
      <c r="P24" s="4"/>
      <c r="Q24" s="4"/>
      <c r="R24" s="4">
        <f>J24+M24+Q24</f>
        <v>626.7</v>
      </c>
    </row>
    <row r="25" spans="1:18" ht="12.75">
      <c r="A25" s="16"/>
      <c r="B25" s="1">
        <v>12</v>
      </c>
      <c r="C25" s="2">
        <v>1</v>
      </c>
      <c r="D25" s="2">
        <v>1</v>
      </c>
      <c r="E25" s="2">
        <v>12</v>
      </c>
      <c r="F25" s="2">
        <f>E25*30</f>
        <v>360</v>
      </c>
      <c r="G25" s="2">
        <v>18</v>
      </c>
      <c r="H25" s="2">
        <f>G25*F25</f>
        <v>6480</v>
      </c>
      <c r="I25" s="2"/>
      <c r="J25" s="2"/>
      <c r="K25" s="2"/>
      <c r="L25" s="2"/>
      <c r="M25" s="2"/>
      <c r="N25" s="2"/>
      <c r="O25" s="2"/>
      <c r="P25" s="2"/>
      <c r="Q25" s="2"/>
      <c r="R25" s="3"/>
    </row>
    <row r="26" spans="1:18" ht="12.75">
      <c r="A26" s="16"/>
      <c r="B26" s="1"/>
      <c r="C26" s="2">
        <v>1</v>
      </c>
      <c r="D26" s="2">
        <v>2</v>
      </c>
      <c r="E26" s="2">
        <v>18</v>
      </c>
      <c r="F26" s="2">
        <f>E26*30</f>
        <v>540</v>
      </c>
      <c r="G26" s="2">
        <v>18</v>
      </c>
      <c r="H26" s="2">
        <f>G26*F26</f>
        <v>9720</v>
      </c>
      <c r="I26" s="2"/>
      <c r="J26" s="2"/>
      <c r="K26" s="2"/>
      <c r="L26" s="2"/>
      <c r="M26" s="2"/>
      <c r="N26" s="2"/>
      <c r="O26" s="2"/>
      <c r="P26" s="2"/>
      <c r="Q26" s="2"/>
      <c r="R26" s="3"/>
    </row>
    <row r="27" spans="1:18" ht="12.75">
      <c r="A27" s="16"/>
      <c r="B27" s="1"/>
      <c r="C27" s="2">
        <v>1</v>
      </c>
      <c r="D27" s="2">
        <v>3</v>
      </c>
      <c r="E27" s="2">
        <v>18</v>
      </c>
      <c r="F27" s="2">
        <f>E27*30</f>
        <v>540</v>
      </c>
      <c r="G27" s="2">
        <v>18</v>
      </c>
      <c r="H27" s="2">
        <f>G27*F27</f>
        <v>9720</v>
      </c>
      <c r="I27" s="2"/>
      <c r="J27" s="2"/>
      <c r="K27" s="2"/>
      <c r="L27" s="2"/>
      <c r="M27" s="2"/>
      <c r="N27" s="2"/>
      <c r="O27" s="2"/>
      <c r="P27" s="2"/>
      <c r="Q27" s="2"/>
      <c r="R27" s="3"/>
    </row>
    <row r="28" spans="1:18" ht="12.75">
      <c r="A28" s="16"/>
      <c r="B28" s="1"/>
      <c r="C28" s="2">
        <v>1</v>
      </c>
      <c r="D28" s="2">
        <v>4</v>
      </c>
      <c r="E28" s="2">
        <v>17</v>
      </c>
      <c r="F28" s="2">
        <f>E28*30</f>
        <v>510</v>
      </c>
      <c r="G28" s="2">
        <v>18</v>
      </c>
      <c r="H28" s="2">
        <f>G28*F28</f>
        <v>9180</v>
      </c>
      <c r="I28" s="2"/>
      <c r="J28" s="2"/>
      <c r="K28" s="2"/>
      <c r="L28" s="2"/>
      <c r="M28" s="2"/>
      <c r="N28" s="2"/>
      <c r="O28" s="2"/>
      <c r="P28" s="2"/>
      <c r="Q28" s="2"/>
      <c r="R28" s="3"/>
    </row>
    <row r="29" spans="1:18" ht="12.75">
      <c r="A29" s="16"/>
      <c r="B29" s="1"/>
      <c r="C29" s="2">
        <v>1</v>
      </c>
      <c r="D29" s="2">
        <v>5</v>
      </c>
      <c r="E29" s="2">
        <v>16</v>
      </c>
      <c r="F29" s="2">
        <f>E29*30</f>
        <v>480</v>
      </c>
      <c r="G29" s="2">
        <v>18</v>
      </c>
      <c r="H29" s="2">
        <f>G29*F29</f>
        <v>8640</v>
      </c>
      <c r="I29" s="2"/>
      <c r="J29" s="2"/>
      <c r="K29" s="2"/>
      <c r="L29" s="2"/>
      <c r="M29" s="2"/>
      <c r="N29" s="2"/>
      <c r="O29" s="2"/>
      <c r="P29" s="2"/>
      <c r="Q29" s="2"/>
      <c r="R29" s="3"/>
    </row>
    <row r="30" spans="1:18" ht="12.75">
      <c r="A30" s="16"/>
      <c r="B30" s="366" t="s">
        <v>98</v>
      </c>
      <c r="C30" s="367"/>
      <c r="D30" s="4"/>
      <c r="E30" s="4"/>
      <c r="F30" s="4"/>
      <c r="G30" s="4">
        <f>SUM(G25:G29)</f>
        <v>90</v>
      </c>
      <c r="H30" s="4">
        <f>SUM(H25:H29)</f>
        <v>43740</v>
      </c>
      <c r="I30" s="4">
        <v>17</v>
      </c>
      <c r="J30" s="4">
        <f>I30*H30/1000</f>
        <v>743.58</v>
      </c>
      <c r="K30" s="4">
        <v>15</v>
      </c>
      <c r="L30" s="4">
        <v>2000</v>
      </c>
      <c r="M30" s="4">
        <f>L30*K30/1000</f>
        <v>30</v>
      </c>
      <c r="N30" s="4"/>
      <c r="O30" s="4"/>
      <c r="P30" s="4"/>
      <c r="Q30" s="4"/>
      <c r="R30" s="4">
        <f>J30+M30+Q30</f>
        <v>773.58</v>
      </c>
    </row>
    <row r="31" spans="1:18" ht="12.75">
      <c r="A31" s="368" t="s">
        <v>41</v>
      </c>
      <c r="B31" s="369"/>
      <c r="C31" s="370"/>
      <c r="D31" s="16"/>
      <c r="E31" s="16"/>
      <c r="F31" s="16"/>
      <c r="G31" s="16"/>
      <c r="H31" s="143">
        <f>H12+H15+H19+H24+H30</f>
        <v>127440</v>
      </c>
      <c r="I31" s="16"/>
      <c r="J31" s="16">
        <f>J30+J24+J19+J15+J12</f>
        <v>2166.48</v>
      </c>
      <c r="K31" s="16">
        <f>K30+K24+K19+K15+K12</f>
        <v>75</v>
      </c>
      <c r="L31" s="16"/>
      <c r="M31" s="16">
        <f>M30+M24+M19+M15+M12</f>
        <v>150</v>
      </c>
      <c r="N31" s="16"/>
      <c r="O31" s="16"/>
      <c r="P31" s="16"/>
      <c r="Q31" s="16"/>
      <c r="R31" s="16">
        <f>J31+M31+Q31</f>
        <v>2316.48</v>
      </c>
    </row>
    <row r="32" spans="1:18" s="318" customFormat="1" ht="12.75" customHeight="1">
      <c r="A32" s="360" t="s">
        <v>0</v>
      </c>
      <c r="B32" s="360" t="s">
        <v>1</v>
      </c>
      <c r="C32" s="360" t="s">
        <v>84</v>
      </c>
      <c r="D32" s="360"/>
      <c r="E32" s="360"/>
      <c r="F32" s="360"/>
      <c r="G32" s="360"/>
      <c r="H32" s="360"/>
      <c r="I32" s="360"/>
      <c r="J32" s="360"/>
      <c r="K32" s="360" t="s">
        <v>148</v>
      </c>
      <c r="L32" s="360"/>
      <c r="M32" s="360"/>
      <c r="N32" s="360" t="s">
        <v>85</v>
      </c>
      <c r="O32" s="360"/>
      <c r="P32" s="360"/>
      <c r="Q32" s="360"/>
      <c r="R32" s="363" t="s">
        <v>182</v>
      </c>
    </row>
    <row r="33" spans="1:18" s="318" customFormat="1" ht="63.75">
      <c r="A33" s="360"/>
      <c r="B33" s="360"/>
      <c r="C33" s="15" t="s">
        <v>86</v>
      </c>
      <c r="D33" s="15" t="s">
        <v>87</v>
      </c>
      <c r="E33" s="15" t="s">
        <v>88</v>
      </c>
      <c r="F33" s="15" t="s">
        <v>89</v>
      </c>
      <c r="G33" s="15" t="s">
        <v>90</v>
      </c>
      <c r="H33" s="15" t="s">
        <v>91</v>
      </c>
      <c r="I33" s="144" t="s">
        <v>180</v>
      </c>
      <c r="J33" s="144" t="s">
        <v>181</v>
      </c>
      <c r="K33" s="15" t="s">
        <v>92</v>
      </c>
      <c r="L33" s="144" t="s">
        <v>179</v>
      </c>
      <c r="M33" s="144" t="s">
        <v>181</v>
      </c>
      <c r="N33" s="15" t="s">
        <v>92</v>
      </c>
      <c r="O33" s="15" t="s">
        <v>93</v>
      </c>
      <c r="P33" s="144" t="s">
        <v>94</v>
      </c>
      <c r="Q33" s="144" t="s">
        <v>181</v>
      </c>
      <c r="R33" s="360"/>
    </row>
    <row r="34" spans="1:18" ht="12.75">
      <c r="A34" s="6">
        <v>2</v>
      </c>
      <c r="B34" s="2">
        <v>1</v>
      </c>
      <c r="C34" s="2">
        <v>1</v>
      </c>
      <c r="D34" s="2">
        <v>1</v>
      </c>
      <c r="E34" s="2">
        <v>12</v>
      </c>
      <c r="F34" s="2">
        <f aca="true" t="shared" si="1" ref="F34:F39">E34*30</f>
        <v>360</v>
      </c>
      <c r="G34" s="2">
        <v>18</v>
      </c>
      <c r="H34" s="2">
        <f aca="true" t="shared" si="2" ref="H34:H39">G34*F34</f>
        <v>6480</v>
      </c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6"/>
      <c r="B35" s="2"/>
      <c r="C35" s="2">
        <v>1</v>
      </c>
      <c r="D35" s="2">
        <v>2</v>
      </c>
      <c r="E35" s="2">
        <v>18</v>
      </c>
      <c r="F35" s="2">
        <f t="shared" si="1"/>
        <v>540</v>
      </c>
      <c r="G35" s="2">
        <v>18</v>
      </c>
      <c r="H35" s="2">
        <f t="shared" si="2"/>
        <v>9720</v>
      </c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6"/>
      <c r="B36" s="2"/>
      <c r="C36" s="2">
        <v>1</v>
      </c>
      <c r="D36" s="2">
        <v>3</v>
      </c>
      <c r="E36" s="2">
        <v>18</v>
      </c>
      <c r="F36" s="2">
        <f t="shared" si="1"/>
        <v>540</v>
      </c>
      <c r="G36" s="2">
        <v>18</v>
      </c>
      <c r="H36" s="2">
        <f t="shared" si="2"/>
        <v>9720</v>
      </c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6"/>
      <c r="B37" s="2"/>
      <c r="C37" s="2">
        <v>1</v>
      </c>
      <c r="D37" s="2">
        <v>4</v>
      </c>
      <c r="E37" s="2">
        <v>17</v>
      </c>
      <c r="F37" s="2">
        <f t="shared" si="1"/>
        <v>510</v>
      </c>
      <c r="G37" s="2">
        <v>18</v>
      </c>
      <c r="H37" s="2">
        <f t="shared" si="2"/>
        <v>9180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6"/>
      <c r="B38" s="2"/>
      <c r="C38" s="2">
        <v>1</v>
      </c>
      <c r="D38" s="2">
        <v>5</v>
      </c>
      <c r="E38" s="2">
        <v>16</v>
      </c>
      <c r="F38" s="2">
        <f t="shared" si="1"/>
        <v>480</v>
      </c>
      <c r="G38" s="2">
        <v>18</v>
      </c>
      <c r="H38" s="2">
        <f t="shared" si="2"/>
        <v>8640</v>
      </c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6"/>
      <c r="B39" s="2"/>
      <c r="C39" s="2">
        <v>1</v>
      </c>
      <c r="D39" s="2">
        <v>6</v>
      </c>
      <c r="E39" s="2">
        <v>15</v>
      </c>
      <c r="F39" s="2">
        <f t="shared" si="1"/>
        <v>450</v>
      </c>
      <c r="G39" s="2">
        <v>18</v>
      </c>
      <c r="H39" s="2">
        <f t="shared" si="2"/>
        <v>8100</v>
      </c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6"/>
      <c r="B40" s="332" t="s">
        <v>99</v>
      </c>
      <c r="C40" s="333"/>
      <c r="D40" s="4"/>
      <c r="E40" s="4"/>
      <c r="F40" s="4"/>
      <c r="G40" s="4">
        <f>SUM(G34:G39)</f>
        <v>108</v>
      </c>
      <c r="H40" s="4">
        <f>SUM(H34:H39)</f>
        <v>51840</v>
      </c>
      <c r="I40" s="4">
        <v>17</v>
      </c>
      <c r="J40" s="4">
        <f>I40*H40/1000</f>
        <v>881.28</v>
      </c>
      <c r="K40" s="4">
        <v>15</v>
      </c>
      <c r="L40" s="4">
        <v>2000</v>
      </c>
      <c r="M40" s="4">
        <f>L40*K40/1000</f>
        <v>30</v>
      </c>
      <c r="N40" s="4"/>
      <c r="O40" s="4"/>
      <c r="P40" s="4"/>
      <c r="Q40" s="4"/>
      <c r="R40" s="4">
        <f>J40+M40+Q40</f>
        <v>911.28</v>
      </c>
    </row>
    <row r="41" spans="1:18" ht="12.75">
      <c r="A41" s="6"/>
      <c r="B41" s="2">
        <v>2</v>
      </c>
      <c r="C41" s="2">
        <v>1</v>
      </c>
      <c r="D41" s="2">
        <v>1</v>
      </c>
      <c r="E41" s="2">
        <v>12</v>
      </c>
      <c r="F41" s="2">
        <f>E41*30</f>
        <v>360</v>
      </c>
      <c r="G41" s="2">
        <v>0</v>
      </c>
      <c r="H41" s="2">
        <f>G41*F41</f>
        <v>0</v>
      </c>
      <c r="I41" s="2"/>
      <c r="J41" s="2"/>
      <c r="K41" s="2"/>
      <c r="L41" s="2"/>
      <c r="M41" s="2"/>
      <c r="N41" s="2"/>
      <c r="O41" s="2"/>
      <c r="P41" s="2"/>
      <c r="Q41" s="2"/>
      <c r="R41" s="3"/>
    </row>
    <row r="42" spans="1:18" ht="12.75">
      <c r="A42" s="6"/>
      <c r="B42" s="2"/>
      <c r="C42" s="2">
        <v>1</v>
      </c>
      <c r="D42" s="2">
        <v>2</v>
      </c>
      <c r="E42" s="2">
        <v>18</v>
      </c>
      <c r="F42" s="2">
        <f aca="true" t="shared" si="3" ref="F42:F47">E42*30</f>
        <v>540</v>
      </c>
      <c r="G42" s="2">
        <v>18</v>
      </c>
      <c r="H42" s="2">
        <f aca="true" t="shared" si="4" ref="H42:H47">G42*F42</f>
        <v>9720</v>
      </c>
      <c r="I42" s="2"/>
      <c r="J42" s="2"/>
      <c r="K42" s="2"/>
      <c r="L42" s="2"/>
      <c r="M42" s="2"/>
      <c r="N42" s="2"/>
      <c r="O42" s="2"/>
      <c r="P42" s="2"/>
      <c r="Q42" s="2"/>
      <c r="R42" s="3"/>
    </row>
    <row r="43" spans="1:18" ht="12.75">
      <c r="A43" s="6"/>
      <c r="B43" s="2"/>
      <c r="C43" s="2">
        <v>1</v>
      </c>
      <c r="D43" s="2">
        <v>3</v>
      </c>
      <c r="E43" s="2">
        <v>18</v>
      </c>
      <c r="F43" s="2">
        <f t="shared" si="3"/>
        <v>540</v>
      </c>
      <c r="G43" s="2">
        <v>18</v>
      </c>
      <c r="H43" s="2">
        <f t="shared" si="4"/>
        <v>9720</v>
      </c>
      <c r="I43" s="2"/>
      <c r="J43" s="2"/>
      <c r="K43" s="2"/>
      <c r="L43" s="2"/>
      <c r="M43" s="2"/>
      <c r="N43" s="2"/>
      <c r="O43" s="2"/>
      <c r="P43" s="2"/>
      <c r="Q43" s="2"/>
      <c r="R43" s="3"/>
    </row>
    <row r="44" spans="1:18" ht="12.75">
      <c r="A44" s="6"/>
      <c r="B44" s="2"/>
      <c r="C44" s="2">
        <v>1</v>
      </c>
      <c r="D44" s="2">
        <v>4</v>
      </c>
      <c r="E44" s="2">
        <v>17</v>
      </c>
      <c r="F44" s="2">
        <f t="shared" si="3"/>
        <v>510</v>
      </c>
      <c r="G44" s="2">
        <v>18</v>
      </c>
      <c r="H44" s="2">
        <f t="shared" si="4"/>
        <v>9180</v>
      </c>
      <c r="I44" s="2"/>
      <c r="J44" s="2"/>
      <c r="K44" s="2"/>
      <c r="L44" s="2"/>
      <c r="M44" s="2"/>
      <c r="N44" s="2"/>
      <c r="O44" s="2"/>
      <c r="P44" s="2"/>
      <c r="Q44" s="2"/>
      <c r="R44" s="3"/>
    </row>
    <row r="45" spans="1:18" ht="12.75">
      <c r="A45" s="6"/>
      <c r="B45" s="2"/>
      <c r="C45" s="2">
        <v>1</v>
      </c>
      <c r="D45" s="2">
        <v>5</v>
      </c>
      <c r="E45" s="2">
        <v>16</v>
      </c>
      <c r="F45" s="2">
        <f t="shared" si="3"/>
        <v>480</v>
      </c>
      <c r="G45" s="2">
        <v>18</v>
      </c>
      <c r="H45" s="2">
        <f t="shared" si="4"/>
        <v>8640</v>
      </c>
      <c r="I45" s="2"/>
      <c r="J45" s="2"/>
      <c r="K45" s="2"/>
      <c r="L45" s="2"/>
      <c r="M45" s="2"/>
      <c r="N45" s="2"/>
      <c r="O45" s="2"/>
      <c r="P45" s="2"/>
      <c r="Q45" s="2"/>
      <c r="R45" s="3"/>
    </row>
    <row r="46" spans="1:18" ht="12.75">
      <c r="A46" s="6"/>
      <c r="B46" s="2"/>
      <c r="C46" s="2">
        <v>1</v>
      </c>
      <c r="D46" s="2">
        <v>6</v>
      </c>
      <c r="E46" s="2">
        <v>15</v>
      </c>
      <c r="F46" s="2">
        <f t="shared" si="3"/>
        <v>450</v>
      </c>
      <c r="G46" s="2">
        <v>18</v>
      </c>
      <c r="H46" s="2">
        <f t="shared" si="4"/>
        <v>8100</v>
      </c>
      <c r="I46" s="2"/>
      <c r="J46" s="2"/>
      <c r="K46" s="2"/>
      <c r="L46" s="2"/>
      <c r="M46" s="2"/>
      <c r="N46" s="2"/>
      <c r="O46" s="2"/>
      <c r="P46" s="2"/>
      <c r="Q46" s="2"/>
      <c r="R46" s="3"/>
    </row>
    <row r="47" spans="1:18" ht="12.75">
      <c r="A47" s="6"/>
      <c r="B47" s="2"/>
      <c r="C47" s="2">
        <v>1</v>
      </c>
      <c r="D47" s="2">
        <v>7</v>
      </c>
      <c r="E47" s="2">
        <v>14</v>
      </c>
      <c r="F47" s="2">
        <f t="shared" si="3"/>
        <v>420</v>
      </c>
      <c r="G47" s="2">
        <v>18</v>
      </c>
      <c r="H47" s="2">
        <f t="shared" si="4"/>
        <v>7560</v>
      </c>
      <c r="I47" s="2"/>
      <c r="J47" s="2"/>
      <c r="K47" s="2"/>
      <c r="L47" s="2"/>
      <c r="M47" s="2"/>
      <c r="N47" s="2"/>
      <c r="O47" s="2"/>
      <c r="P47" s="2"/>
      <c r="Q47" s="2"/>
      <c r="R47" s="3"/>
    </row>
    <row r="48" spans="1:18" ht="12.75">
      <c r="A48" s="6"/>
      <c r="B48" s="332" t="s">
        <v>100</v>
      </c>
      <c r="C48" s="333"/>
      <c r="D48" s="4"/>
      <c r="E48" s="4"/>
      <c r="F48" s="4"/>
      <c r="G48" s="4">
        <f>SUM(G41:G47)</f>
        <v>108</v>
      </c>
      <c r="H48" s="4">
        <f>SUM(H41:H47)</f>
        <v>52920</v>
      </c>
      <c r="I48" s="4">
        <v>17</v>
      </c>
      <c r="J48" s="4">
        <f>I48*H48/1000</f>
        <v>899.64</v>
      </c>
      <c r="K48" s="4">
        <v>0</v>
      </c>
      <c r="L48" s="4">
        <v>2000</v>
      </c>
      <c r="M48" s="4">
        <f>L48*K48/1000</f>
        <v>0</v>
      </c>
      <c r="N48" s="4"/>
      <c r="O48" s="4"/>
      <c r="P48" s="4"/>
      <c r="Q48" s="4"/>
      <c r="R48" s="4">
        <f>J48+M48+Q48</f>
        <v>899.64</v>
      </c>
    </row>
    <row r="49" spans="1:18" ht="12.75">
      <c r="A49" s="6"/>
      <c r="B49" s="2">
        <v>3</v>
      </c>
      <c r="C49" s="2">
        <v>1</v>
      </c>
      <c r="D49" s="2">
        <v>1</v>
      </c>
      <c r="E49" s="2">
        <v>12</v>
      </c>
      <c r="F49" s="2">
        <f>E49*30</f>
        <v>360</v>
      </c>
      <c r="G49" s="2">
        <v>0</v>
      </c>
      <c r="H49" s="2">
        <f>G49*F49</f>
        <v>0</v>
      </c>
      <c r="I49" s="2"/>
      <c r="J49" s="2"/>
      <c r="K49" s="2"/>
      <c r="L49" s="2"/>
      <c r="M49" s="2"/>
      <c r="N49" s="2"/>
      <c r="O49" s="2"/>
      <c r="P49" s="2"/>
      <c r="Q49" s="2"/>
      <c r="R49" s="3"/>
    </row>
    <row r="50" spans="1:18" ht="12.75">
      <c r="A50" s="6"/>
      <c r="B50" s="2"/>
      <c r="C50" s="2">
        <v>1</v>
      </c>
      <c r="D50" s="2">
        <v>2</v>
      </c>
      <c r="E50" s="2">
        <v>18</v>
      </c>
      <c r="F50" s="2">
        <f aca="true" t="shared" si="5" ref="F50:F65">E50*30</f>
        <v>540</v>
      </c>
      <c r="G50" s="2">
        <v>0</v>
      </c>
      <c r="H50" s="2">
        <f aca="true" t="shared" si="6" ref="H50:H56">G50*F50</f>
        <v>0</v>
      </c>
      <c r="I50" s="2"/>
      <c r="J50" s="2"/>
      <c r="K50" s="2"/>
      <c r="L50" s="2"/>
      <c r="M50" s="2"/>
      <c r="N50" s="2"/>
      <c r="O50" s="2"/>
      <c r="P50" s="2"/>
      <c r="Q50" s="2"/>
      <c r="R50" s="3"/>
    </row>
    <row r="51" spans="1:18" ht="12.75">
      <c r="A51" s="6"/>
      <c r="B51" s="2"/>
      <c r="C51" s="2">
        <v>1</v>
      </c>
      <c r="D51" s="2">
        <v>3</v>
      </c>
      <c r="E51" s="2">
        <v>18</v>
      </c>
      <c r="F51" s="2">
        <f t="shared" si="5"/>
        <v>540</v>
      </c>
      <c r="G51" s="2">
        <v>18</v>
      </c>
      <c r="H51" s="2">
        <f t="shared" si="6"/>
        <v>9720</v>
      </c>
      <c r="I51" s="2"/>
      <c r="J51" s="2"/>
      <c r="K51" s="2"/>
      <c r="L51" s="2"/>
      <c r="M51" s="2"/>
      <c r="N51" s="2"/>
      <c r="O51" s="2"/>
      <c r="P51" s="2"/>
      <c r="Q51" s="2"/>
      <c r="R51" s="3"/>
    </row>
    <row r="52" spans="1:18" ht="12.75">
      <c r="A52" s="6"/>
      <c r="B52" s="2"/>
      <c r="C52" s="2">
        <v>1</v>
      </c>
      <c r="D52" s="2">
        <v>4</v>
      </c>
      <c r="E52" s="2">
        <v>17</v>
      </c>
      <c r="F52" s="2">
        <f t="shared" si="5"/>
        <v>510</v>
      </c>
      <c r="G52" s="2">
        <v>18</v>
      </c>
      <c r="H52" s="2">
        <f t="shared" si="6"/>
        <v>9180</v>
      </c>
      <c r="I52" s="2"/>
      <c r="J52" s="2"/>
      <c r="K52" s="2"/>
      <c r="L52" s="2"/>
      <c r="M52" s="2"/>
      <c r="N52" s="2"/>
      <c r="O52" s="2"/>
      <c r="P52" s="2"/>
      <c r="Q52" s="2"/>
      <c r="R52" s="3"/>
    </row>
    <row r="53" spans="1:18" ht="12.75">
      <c r="A53" s="6"/>
      <c r="B53" s="2"/>
      <c r="C53" s="2">
        <v>1</v>
      </c>
      <c r="D53" s="2">
        <v>5</v>
      </c>
      <c r="E53" s="2">
        <v>16</v>
      </c>
      <c r="F53" s="2">
        <f t="shared" si="5"/>
        <v>480</v>
      </c>
      <c r="G53" s="2">
        <v>18</v>
      </c>
      <c r="H53" s="2">
        <f t="shared" si="6"/>
        <v>8640</v>
      </c>
      <c r="I53" s="2"/>
      <c r="J53" s="2"/>
      <c r="K53" s="2"/>
      <c r="L53" s="2"/>
      <c r="M53" s="2"/>
      <c r="N53" s="2"/>
      <c r="O53" s="2"/>
      <c r="P53" s="2"/>
      <c r="Q53" s="2"/>
      <c r="R53" s="3"/>
    </row>
    <row r="54" spans="1:18" ht="12.75">
      <c r="A54" s="6"/>
      <c r="B54" s="2"/>
      <c r="C54" s="2">
        <v>1</v>
      </c>
      <c r="D54" s="2">
        <v>6</v>
      </c>
      <c r="E54" s="2">
        <v>15</v>
      </c>
      <c r="F54" s="2">
        <f t="shared" si="5"/>
        <v>450</v>
      </c>
      <c r="G54" s="2">
        <v>18</v>
      </c>
      <c r="H54" s="2">
        <f t="shared" si="6"/>
        <v>8100</v>
      </c>
      <c r="I54" s="2"/>
      <c r="J54" s="2"/>
      <c r="K54" s="2"/>
      <c r="L54" s="2"/>
      <c r="M54" s="2"/>
      <c r="N54" s="2"/>
      <c r="O54" s="2"/>
      <c r="P54" s="2"/>
      <c r="Q54" s="2"/>
      <c r="R54" s="3"/>
    </row>
    <row r="55" spans="1:18" ht="12.75">
      <c r="A55" s="6"/>
      <c r="B55" s="2"/>
      <c r="C55" s="2">
        <v>1</v>
      </c>
      <c r="D55" s="2">
        <v>7</v>
      </c>
      <c r="E55" s="2">
        <v>14</v>
      </c>
      <c r="F55" s="2">
        <f t="shared" si="5"/>
        <v>420</v>
      </c>
      <c r="G55" s="2">
        <v>18</v>
      </c>
      <c r="H55" s="2">
        <f t="shared" si="6"/>
        <v>7560</v>
      </c>
      <c r="I55" s="2"/>
      <c r="J55" s="2"/>
      <c r="K55" s="2"/>
      <c r="L55" s="2"/>
      <c r="M55" s="2"/>
      <c r="N55" s="2"/>
      <c r="O55" s="2"/>
      <c r="P55" s="2"/>
      <c r="Q55" s="2"/>
      <c r="R55" s="3"/>
    </row>
    <row r="56" spans="1:18" ht="12.75">
      <c r="A56" s="6"/>
      <c r="B56" s="2"/>
      <c r="C56" s="2">
        <v>1</v>
      </c>
      <c r="D56" s="2">
        <v>8</v>
      </c>
      <c r="E56" s="2">
        <v>13</v>
      </c>
      <c r="F56" s="2">
        <f t="shared" si="5"/>
        <v>390</v>
      </c>
      <c r="G56" s="2">
        <v>18</v>
      </c>
      <c r="H56" s="2">
        <f t="shared" si="6"/>
        <v>7020</v>
      </c>
      <c r="I56" s="2"/>
      <c r="J56" s="2"/>
      <c r="K56" s="2"/>
      <c r="L56" s="2"/>
      <c r="M56" s="2"/>
      <c r="N56" s="2"/>
      <c r="O56" s="2"/>
      <c r="P56" s="2"/>
      <c r="Q56" s="2"/>
      <c r="R56" s="3"/>
    </row>
    <row r="57" spans="1:18" ht="12.75">
      <c r="A57" s="6"/>
      <c r="B57" s="332" t="s">
        <v>101</v>
      </c>
      <c r="C57" s="333"/>
      <c r="D57" s="4"/>
      <c r="E57" s="4"/>
      <c r="F57" s="4"/>
      <c r="G57" s="4">
        <f>SUM(G49:G56)</f>
        <v>108</v>
      </c>
      <c r="H57" s="4">
        <f>SUM(H49:H56)</f>
        <v>50220</v>
      </c>
      <c r="I57" s="4">
        <v>17</v>
      </c>
      <c r="J57" s="4">
        <f>I57*H57/1000</f>
        <v>853.74</v>
      </c>
      <c r="K57" s="4">
        <v>0</v>
      </c>
      <c r="L57" s="4">
        <v>2000</v>
      </c>
      <c r="M57" s="4">
        <f>L57*K57/1000</f>
        <v>0</v>
      </c>
      <c r="N57" s="4"/>
      <c r="O57" s="4"/>
      <c r="P57" s="4"/>
      <c r="Q57" s="4"/>
      <c r="R57" s="4">
        <f>J57+M57+Q57</f>
        <v>853.74</v>
      </c>
    </row>
    <row r="58" spans="1:18" ht="12.75">
      <c r="A58" s="6"/>
      <c r="B58" s="2">
        <v>4</v>
      </c>
      <c r="C58" s="2">
        <v>1</v>
      </c>
      <c r="D58" s="2">
        <v>2</v>
      </c>
      <c r="E58" s="2">
        <v>18</v>
      </c>
      <c r="F58" s="2">
        <f t="shared" si="5"/>
        <v>540</v>
      </c>
      <c r="G58" s="2">
        <v>0</v>
      </c>
      <c r="H58" s="2">
        <f>G58*F58</f>
        <v>0</v>
      </c>
      <c r="I58" s="2"/>
      <c r="J58" s="2"/>
      <c r="K58" s="2"/>
      <c r="L58" s="2"/>
      <c r="M58" s="2"/>
      <c r="N58" s="2"/>
      <c r="O58" s="2"/>
      <c r="P58" s="2"/>
      <c r="Q58" s="2"/>
      <c r="R58" s="3"/>
    </row>
    <row r="59" spans="1:18" ht="12.75">
      <c r="A59" s="6"/>
      <c r="B59" s="2"/>
      <c r="C59" s="2">
        <v>1</v>
      </c>
      <c r="D59" s="2">
        <v>3</v>
      </c>
      <c r="E59" s="2">
        <v>18</v>
      </c>
      <c r="F59" s="2">
        <f t="shared" si="5"/>
        <v>540</v>
      </c>
      <c r="G59" s="2">
        <v>0</v>
      </c>
      <c r="H59" s="2">
        <f aca="true" t="shared" si="7" ref="H59:H65">G59*F59</f>
        <v>0</v>
      </c>
      <c r="I59" s="2"/>
      <c r="J59" s="2"/>
      <c r="K59" s="2"/>
      <c r="L59" s="2"/>
      <c r="M59" s="2"/>
      <c r="N59" s="2"/>
      <c r="O59" s="2"/>
      <c r="P59" s="2"/>
      <c r="Q59" s="2"/>
      <c r="R59" s="3"/>
    </row>
    <row r="60" spans="1:18" ht="12.75">
      <c r="A60" s="6"/>
      <c r="B60" s="2"/>
      <c r="C60" s="2">
        <v>1</v>
      </c>
      <c r="D60" s="2">
        <v>4</v>
      </c>
      <c r="E60" s="2">
        <v>17</v>
      </c>
      <c r="F60" s="2">
        <f t="shared" si="5"/>
        <v>510</v>
      </c>
      <c r="G60" s="2">
        <v>18</v>
      </c>
      <c r="H60" s="2">
        <f t="shared" si="7"/>
        <v>9180</v>
      </c>
      <c r="I60" s="2"/>
      <c r="J60" s="2"/>
      <c r="K60" s="2"/>
      <c r="L60" s="2"/>
      <c r="M60" s="2"/>
      <c r="N60" s="2"/>
      <c r="O60" s="2"/>
      <c r="P60" s="2"/>
      <c r="Q60" s="2"/>
      <c r="R60" s="3"/>
    </row>
    <row r="61" spans="1:18" ht="12.75">
      <c r="A61" s="6"/>
      <c r="B61" s="2"/>
      <c r="C61" s="2">
        <v>1</v>
      </c>
      <c r="D61" s="2">
        <v>5</v>
      </c>
      <c r="E61" s="2">
        <v>16</v>
      </c>
      <c r="F61" s="2">
        <f t="shared" si="5"/>
        <v>480</v>
      </c>
      <c r="G61" s="2">
        <v>18</v>
      </c>
      <c r="H61" s="2">
        <f t="shared" si="7"/>
        <v>8640</v>
      </c>
      <c r="I61" s="2"/>
      <c r="J61" s="2"/>
      <c r="K61" s="2"/>
      <c r="L61" s="2"/>
      <c r="M61" s="2"/>
      <c r="N61" s="2"/>
      <c r="O61" s="2"/>
      <c r="P61" s="2"/>
      <c r="Q61" s="2"/>
      <c r="R61" s="3"/>
    </row>
    <row r="62" spans="1:18" ht="12.75">
      <c r="A62" s="6"/>
      <c r="B62" s="2"/>
      <c r="C62" s="2">
        <v>1</v>
      </c>
      <c r="D62" s="2">
        <v>6</v>
      </c>
      <c r="E62" s="2">
        <v>15</v>
      </c>
      <c r="F62" s="2">
        <f t="shared" si="5"/>
        <v>450</v>
      </c>
      <c r="G62" s="2">
        <v>18</v>
      </c>
      <c r="H62" s="2">
        <f t="shared" si="7"/>
        <v>8100</v>
      </c>
      <c r="I62" s="2"/>
      <c r="J62" s="2"/>
      <c r="K62" s="2"/>
      <c r="L62" s="2"/>
      <c r="M62" s="2"/>
      <c r="N62" s="2"/>
      <c r="O62" s="2"/>
      <c r="P62" s="2"/>
      <c r="Q62" s="2"/>
      <c r="R62" s="3"/>
    </row>
    <row r="63" spans="1:18" ht="12.75">
      <c r="A63" s="6"/>
      <c r="B63" s="2"/>
      <c r="C63" s="2">
        <v>1</v>
      </c>
      <c r="D63" s="2">
        <v>7</v>
      </c>
      <c r="E63" s="2">
        <v>14</v>
      </c>
      <c r="F63" s="2">
        <f t="shared" si="5"/>
        <v>420</v>
      </c>
      <c r="G63" s="2">
        <v>18</v>
      </c>
      <c r="H63" s="2">
        <f t="shared" si="7"/>
        <v>7560</v>
      </c>
      <c r="I63" s="2"/>
      <c r="J63" s="2"/>
      <c r="K63" s="2"/>
      <c r="L63" s="2"/>
      <c r="M63" s="2"/>
      <c r="N63" s="2"/>
      <c r="O63" s="2"/>
      <c r="P63" s="2"/>
      <c r="Q63" s="2"/>
      <c r="R63" s="3"/>
    </row>
    <row r="64" spans="1:18" ht="12.75">
      <c r="A64" s="6"/>
      <c r="B64" s="2"/>
      <c r="C64" s="2">
        <v>1</v>
      </c>
      <c r="D64" s="2">
        <v>8</v>
      </c>
      <c r="E64" s="2">
        <v>13</v>
      </c>
      <c r="F64" s="2">
        <f t="shared" si="5"/>
        <v>390</v>
      </c>
      <c r="G64" s="2">
        <v>18</v>
      </c>
      <c r="H64" s="2">
        <f t="shared" si="7"/>
        <v>7020</v>
      </c>
      <c r="I64" s="2"/>
      <c r="J64" s="2"/>
      <c r="K64" s="2"/>
      <c r="L64" s="2"/>
      <c r="M64" s="2"/>
      <c r="N64" s="2"/>
      <c r="O64" s="2"/>
      <c r="P64" s="2"/>
      <c r="Q64" s="2"/>
      <c r="R64" s="3"/>
    </row>
    <row r="65" spans="1:18" ht="12.75">
      <c r="A65" s="6"/>
      <c r="B65" s="2"/>
      <c r="C65" s="2">
        <v>1</v>
      </c>
      <c r="D65" s="2">
        <v>9</v>
      </c>
      <c r="E65" s="2">
        <v>12</v>
      </c>
      <c r="F65" s="2">
        <f t="shared" si="5"/>
        <v>360</v>
      </c>
      <c r="G65" s="2">
        <v>18</v>
      </c>
      <c r="H65" s="2">
        <f t="shared" si="7"/>
        <v>6480</v>
      </c>
      <c r="I65" s="2"/>
      <c r="J65" s="2"/>
      <c r="K65" s="2"/>
      <c r="L65" s="2"/>
      <c r="M65" s="2"/>
      <c r="N65" s="2"/>
      <c r="O65" s="2"/>
      <c r="P65" s="2"/>
      <c r="Q65" s="2"/>
      <c r="R65" s="3"/>
    </row>
    <row r="66" spans="1:18" ht="12.75">
      <c r="A66" s="6"/>
      <c r="B66" s="332" t="s">
        <v>102</v>
      </c>
      <c r="C66" s="333"/>
      <c r="D66" s="4"/>
      <c r="E66" s="4"/>
      <c r="F66" s="4"/>
      <c r="G66" s="4">
        <f>SUM(G58:G65)</f>
        <v>108</v>
      </c>
      <c r="H66" s="4">
        <f>SUM(H58:H65)</f>
        <v>46980</v>
      </c>
      <c r="I66" s="4">
        <v>17</v>
      </c>
      <c r="J66" s="4">
        <f>I66*H66/1000</f>
        <v>798.66</v>
      </c>
      <c r="K66" s="4">
        <v>0</v>
      </c>
      <c r="L66" s="4">
        <v>2000</v>
      </c>
      <c r="M66" s="4">
        <f>L66*K66/1000</f>
        <v>0</v>
      </c>
      <c r="N66" s="4"/>
      <c r="O66" s="4"/>
      <c r="P66" s="4"/>
      <c r="Q66" s="4"/>
      <c r="R66" s="4">
        <f>J66+M66+Q66</f>
        <v>798.66</v>
      </c>
    </row>
    <row r="67" spans="1:18" ht="12.75">
      <c r="A67" s="6"/>
      <c r="B67" s="2">
        <v>5</v>
      </c>
      <c r="C67" s="2">
        <v>1</v>
      </c>
      <c r="D67" s="2">
        <v>3</v>
      </c>
      <c r="E67" s="2">
        <v>18</v>
      </c>
      <c r="F67" s="2">
        <f>E67*30</f>
        <v>540</v>
      </c>
      <c r="G67" s="2">
        <v>0</v>
      </c>
      <c r="H67" s="2">
        <f>G67*F67</f>
        <v>0</v>
      </c>
      <c r="I67" s="2"/>
      <c r="J67" s="2"/>
      <c r="K67" s="2"/>
      <c r="L67" s="2"/>
      <c r="M67" s="2"/>
      <c r="N67" s="2"/>
      <c r="O67" s="2"/>
      <c r="P67" s="2"/>
      <c r="Q67" s="2"/>
      <c r="R67" s="3"/>
    </row>
    <row r="68" spans="1:18" ht="12.75">
      <c r="A68" s="6"/>
      <c r="B68" s="2"/>
      <c r="C68" s="2">
        <v>1</v>
      </c>
      <c r="D68" s="2">
        <v>4</v>
      </c>
      <c r="E68" s="2">
        <v>17</v>
      </c>
      <c r="F68" s="2">
        <f aca="true" t="shared" si="8" ref="F68:F74">E68*30</f>
        <v>510</v>
      </c>
      <c r="G68" s="2">
        <v>0</v>
      </c>
      <c r="H68" s="2">
        <f aca="true" t="shared" si="9" ref="H68:H74">G68*F68</f>
        <v>0</v>
      </c>
      <c r="I68" s="2"/>
      <c r="J68" s="2"/>
      <c r="K68" s="2"/>
      <c r="L68" s="2"/>
      <c r="M68" s="2"/>
      <c r="N68" s="2"/>
      <c r="O68" s="2"/>
      <c r="P68" s="2"/>
      <c r="Q68" s="2"/>
      <c r="R68" s="3"/>
    </row>
    <row r="69" spans="1:18" ht="12.75">
      <c r="A69" s="6"/>
      <c r="B69" s="2"/>
      <c r="C69" s="2">
        <v>1</v>
      </c>
      <c r="D69" s="2">
        <v>5</v>
      </c>
      <c r="E69" s="2">
        <v>16</v>
      </c>
      <c r="F69" s="2">
        <f t="shared" si="8"/>
        <v>480</v>
      </c>
      <c r="G69" s="2">
        <v>18</v>
      </c>
      <c r="H69" s="2">
        <f t="shared" si="9"/>
        <v>8640</v>
      </c>
      <c r="I69" s="2"/>
      <c r="J69" s="2"/>
      <c r="K69" s="2"/>
      <c r="L69" s="2"/>
      <c r="M69" s="2"/>
      <c r="N69" s="2"/>
      <c r="O69" s="2"/>
      <c r="P69" s="2"/>
      <c r="Q69" s="2"/>
      <c r="R69" s="3"/>
    </row>
    <row r="70" spans="1:18" ht="12.75">
      <c r="A70" s="6"/>
      <c r="B70" s="2"/>
      <c r="C70" s="2">
        <v>1</v>
      </c>
      <c r="D70" s="2">
        <v>6</v>
      </c>
      <c r="E70" s="2">
        <v>15</v>
      </c>
      <c r="F70" s="2">
        <f t="shared" si="8"/>
        <v>450</v>
      </c>
      <c r="G70" s="2">
        <v>18</v>
      </c>
      <c r="H70" s="2">
        <f t="shared" si="9"/>
        <v>8100</v>
      </c>
      <c r="I70" s="2"/>
      <c r="J70" s="2"/>
      <c r="K70" s="2"/>
      <c r="L70" s="2"/>
      <c r="M70" s="2"/>
      <c r="N70" s="2"/>
      <c r="O70" s="2"/>
      <c r="P70" s="2"/>
      <c r="Q70" s="2"/>
      <c r="R70" s="3"/>
    </row>
    <row r="71" spans="1:18" ht="12.75">
      <c r="A71" s="6"/>
      <c r="B71" s="2"/>
      <c r="C71" s="2">
        <v>1</v>
      </c>
      <c r="D71" s="2">
        <v>7</v>
      </c>
      <c r="E71" s="2">
        <v>14</v>
      </c>
      <c r="F71" s="2">
        <f t="shared" si="8"/>
        <v>420</v>
      </c>
      <c r="G71" s="2">
        <v>18</v>
      </c>
      <c r="H71" s="2">
        <f t="shared" si="9"/>
        <v>7560</v>
      </c>
      <c r="I71" s="2"/>
      <c r="J71" s="2"/>
      <c r="K71" s="2"/>
      <c r="L71" s="2"/>
      <c r="M71" s="2"/>
      <c r="N71" s="2"/>
      <c r="O71" s="2"/>
      <c r="P71" s="2"/>
      <c r="Q71" s="2"/>
      <c r="R71" s="3"/>
    </row>
    <row r="72" spans="1:18" ht="12.75">
      <c r="A72" s="6"/>
      <c r="B72" s="2"/>
      <c r="C72" s="2">
        <v>1</v>
      </c>
      <c r="D72" s="2">
        <v>8</v>
      </c>
      <c r="E72" s="2">
        <v>13</v>
      </c>
      <c r="F72" s="2">
        <f t="shared" si="8"/>
        <v>390</v>
      </c>
      <c r="G72" s="2">
        <v>18</v>
      </c>
      <c r="H72" s="2">
        <f t="shared" si="9"/>
        <v>7020</v>
      </c>
      <c r="I72" s="2"/>
      <c r="J72" s="2"/>
      <c r="K72" s="2"/>
      <c r="L72" s="2"/>
      <c r="M72" s="2"/>
      <c r="N72" s="2"/>
      <c r="O72" s="2"/>
      <c r="P72" s="2"/>
      <c r="Q72" s="2"/>
      <c r="R72" s="3"/>
    </row>
    <row r="73" spans="1:18" ht="12.75">
      <c r="A73" s="6"/>
      <c r="B73" s="2"/>
      <c r="C73" s="2">
        <v>1</v>
      </c>
      <c r="D73" s="2">
        <v>9</v>
      </c>
      <c r="E73" s="2">
        <v>12</v>
      </c>
      <c r="F73" s="2">
        <f t="shared" si="8"/>
        <v>360</v>
      </c>
      <c r="G73" s="2">
        <v>18</v>
      </c>
      <c r="H73" s="2">
        <f t="shared" si="9"/>
        <v>6480</v>
      </c>
      <c r="I73" s="2"/>
      <c r="J73" s="2"/>
      <c r="K73" s="2"/>
      <c r="L73" s="2"/>
      <c r="M73" s="2"/>
      <c r="N73" s="2"/>
      <c r="O73" s="2"/>
      <c r="P73" s="2"/>
      <c r="Q73" s="2"/>
      <c r="R73" s="3"/>
    </row>
    <row r="74" spans="1:18" ht="12.75">
      <c r="A74" s="6"/>
      <c r="B74" s="2"/>
      <c r="C74" s="2">
        <v>1</v>
      </c>
      <c r="D74" s="2">
        <v>10</v>
      </c>
      <c r="E74" s="2">
        <v>10</v>
      </c>
      <c r="F74" s="2">
        <f t="shared" si="8"/>
        <v>300</v>
      </c>
      <c r="G74" s="2">
        <v>18</v>
      </c>
      <c r="H74" s="2">
        <f t="shared" si="9"/>
        <v>5400</v>
      </c>
      <c r="I74" s="2"/>
      <c r="J74" s="2"/>
      <c r="K74" s="2"/>
      <c r="L74" s="2"/>
      <c r="M74" s="2"/>
      <c r="N74" s="2"/>
      <c r="O74" s="2"/>
      <c r="P74" s="2"/>
      <c r="Q74" s="2"/>
      <c r="R74" s="3"/>
    </row>
    <row r="75" spans="1:18" ht="12.75">
      <c r="A75" s="6"/>
      <c r="B75" s="332" t="s">
        <v>103</v>
      </c>
      <c r="C75" s="333"/>
      <c r="D75" s="4"/>
      <c r="E75" s="4"/>
      <c r="F75" s="4"/>
      <c r="G75" s="4">
        <f>SUM(G67:G74)</f>
        <v>108</v>
      </c>
      <c r="H75" s="4">
        <f>SUM(H67:H74)</f>
        <v>43200</v>
      </c>
      <c r="I75" s="4">
        <v>17</v>
      </c>
      <c r="J75" s="4">
        <f>I75*H75/1000</f>
        <v>734.4</v>
      </c>
      <c r="K75" s="4">
        <v>0</v>
      </c>
      <c r="L75" s="4">
        <v>2000</v>
      </c>
      <c r="M75" s="4"/>
      <c r="N75" s="4"/>
      <c r="O75" s="4"/>
      <c r="P75" s="4"/>
      <c r="Q75" s="4"/>
      <c r="R75" s="4">
        <f>J75+M75+Q75</f>
        <v>734.4</v>
      </c>
    </row>
    <row r="76" spans="1:18" ht="12.75">
      <c r="A76" s="6"/>
      <c r="B76" s="2">
        <v>6</v>
      </c>
      <c r="C76" s="2">
        <v>1</v>
      </c>
      <c r="D76" s="2">
        <v>4</v>
      </c>
      <c r="E76" s="2">
        <v>17</v>
      </c>
      <c r="F76" s="2">
        <f>E76*30</f>
        <v>510</v>
      </c>
      <c r="G76" s="2">
        <v>0</v>
      </c>
      <c r="H76" s="2">
        <f>G76*F76</f>
        <v>0</v>
      </c>
      <c r="I76" s="2"/>
      <c r="J76" s="2"/>
      <c r="K76" s="2"/>
      <c r="L76" s="2"/>
      <c r="M76" s="2"/>
      <c r="N76" s="2"/>
      <c r="O76" s="2"/>
      <c r="P76" s="2"/>
      <c r="Q76" s="2"/>
      <c r="R76" s="3"/>
    </row>
    <row r="77" spans="1:18" ht="12.75">
      <c r="A77" s="6"/>
      <c r="B77" s="2"/>
      <c r="C77" s="2">
        <v>1</v>
      </c>
      <c r="D77" s="2">
        <v>5</v>
      </c>
      <c r="E77" s="2">
        <v>16</v>
      </c>
      <c r="F77" s="2">
        <f aca="true" t="shared" si="10" ref="F77:F83">E77*30</f>
        <v>480</v>
      </c>
      <c r="G77" s="2">
        <v>0</v>
      </c>
      <c r="H77" s="2">
        <f aca="true" t="shared" si="11" ref="H77:H83">G77*F77</f>
        <v>0</v>
      </c>
      <c r="I77" s="2"/>
      <c r="J77" s="2"/>
      <c r="K77" s="2"/>
      <c r="L77" s="2"/>
      <c r="M77" s="2"/>
      <c r="N77" s="2"/>
      <c r="O77" s="2"/>
      <c r="P77" s="2"/>
      <c r="Q77" s="2"/>
      <c r="R77" s="3"/>
    </row>
    <row r="78" spans="1:18" ht="12.75">
      <c r="A78" s="6"/>
      <c r="B78" s="2"/>
      <c r="C78" s="2">
        <v>1</v>
      </c>
      <c r="D78" s="2">
        <v>6</v>
      </c>
      <c r="E78" s="2">
        <v>15</v>
      </c>
      <c r="F78" s="2">
        <f t="shared" si="10"/>
        <v>450</v>
      </c>
      <c r="G78" s="2">
        <v>18</v>
      </c>
      <c r="H78" s="2">
        <f t="shared" si="11"/>
        <v>8100</v>
      </c>
      <c r="I78" s="2"/>
      <c r="J78" s="2"/>
      <c r="K78" s="2"/>
      <c r="L78" s="2"/>
      <c r="M78" s="2"/>
      <c r="N78" s="2"/>
      <c r="O78" s="2"/>
      <c r="P78" s="2"/>
      <c r="Q78" s="2"/>
      <c r="R78" s="3"/>
    </row>
    <row r="79" spans="1:18" ht="12.75">
      <c r="A79" s="6"/>
      <c r="B79" s="2"/>
      <c r="C79" s="2">
        <v>1</v>
      </c>
      <c r="D79" s="2">
        <v>7</v>
      </c>
      <c r="E79" s="2">
        <v>14</v>
      </c>
      <c r="F79" s="2">
        <f t="shared" si="10"/>
        <v>420</v>
      </c>
      <c r="G79" s="2">
        <v>18</v>
      </c>
      <c r="H79" s="2">
        <f t="shared" si="11"/>
        <v>7560</v>
      </c>
      <c r="I79" s="2"/>
      <c r="J79" s="2"/>
      <c r="K79" s="2"/>
      <c r="L79" s="2"/>
      <c r="M79" s="2"/>
      <c r="N79" s="2"/>
      <c r="O79" s="2"/>
      <c r="P79" s="2"/>
      <c r="Q79" s="2"/>
      <c r="R79" s="3"/>
    </row>
    <row r="80" spans="1:18" ht="12.75">
      <c r="A80" s="6"/>
      <c r="B80" s="2"/>
      <c r="C80" s="2">
        <v>1</v>
      </c>
      <c r="D80" s="2">
        <v>8</v>
      </c>
      <c r="E80" s="2">
        <v>13</v>
      </c>
      <c r="F80" s="2">
        <f t="shared" si="10"/>
        <v>390</v>
      </c>
      <c r="G80" s="2">
        <v>18</v>
      </c>
      <c r="H80" s="2">
        <f t="shared" si="11"/>
        <v>7020</v>
      </c>
      <c r="I80" s="2"/>
      <c r="J80" s="2"/>
      <c r="K80" s="2"/>
      <c r="L80" s="2"/>
      <c r="M80" s="2"/>
      <c r="N80" s="2"/>
      <c r="O80" s="2"/>
      <c r="P80" s="2"/>
      <c r="Q80" s="2"/>
      <c r="R80" s="3"/>
    </row>
    <row r="81" spans="1:18" ht="12.75">
      <c r="A81" s="6"/>
      <c r="B81" s="2"/>
      <c r="C81" s="2">
        <v>1</v>
      </c>
      <c r="D81" s="2">
        <v>9</v>
      </c>
      <c r="E81" s="2">
        <v>12</v>
      </c>
      <c r="F81" s="2">
        <f t="shared" si="10"/>
        <v>360</v>
      </c>
      <c r="G81" s="2">
        <v>18</v>
      </c>
      <c r="H81" s="2">
        <f t="shared" si="11"/>
        <v>6480</v>
      </c>
      <c r="I81" s="2"/>
      <c r="J81" s="2"/>
      <c r="K81" s="2"/>
      <c r="L81" s="2"/>
      <c r="M81" s="2"/>
      <c r="N81" s="2"/>
      <c r="O81" s="2"/>
      <c r="P81" s="2"/>
      <c r="Q81" s="2"/>
      <c r="R81" s="3"/>
    </row>
    <row r="82" spans="1:18" ht="12.75">
      <c r="A82" s="6"/>
      <c r="B82" s="2"/>
      <c r="C82" s="2">
        <v>1</v>
      </c>
      <c r="D82" s="2">
        <v>10</v>
      </c>
      <c r="E82" s="2">
        <v>10</v>
      </c>
      <c r="F82" s="2">
        <f t="shared" si="10"/>
        <v>300</v>
      </c>
      <c r="G82" s="2">
        <v>18</v>
      </c>
      <c r="H82" s="2">
        <f t="shared" si="11"/>
        <v>5400</v>
      </c>
      <c r="I82" s="2"/>
      <c r="J82" s="2"/>
      <c r="K82" s="2"/>
      <c r="L82" s="2"/>
      <c r="M82" s="2"/>
      <c r="N82" s="2"/>
      <c r="O82" s="2"/>
      <c r="P82" s="2"/>
      <c r="Q82" s="2"/>
      <c r="R82" s="3"/>
    </row>
    <row r="83" spans="1:18" ht="12.75">
      <c r="A83" s="6"/>
      <c r="B83" s="2"/>
      <c r="C83" s="2">
        <v>1</v>
      </c>
      <c r="D83" s="2">
        <v>11</v>
      </c>
      <c r="E83" s="2">
        <v>10</v>
      </c>
      <c r="F83" s="2">
        <f t="shared" si="10"/>
        <v>300</v>
      </c>
      <c r="G83" s="2">
        <v>6</v>
      </c>
      <c r="H83" s="2">
        <f t="shared" si="11"/>
        <v>1800</v>
      </c>
      <c r="I83" s="2"/>
      <c r="J83" s="2"/>
      <c r="K83" s="2"/>
      <c r="L83" s="2"/>
      <c r="M83" s="2"/>
      <c r="N83" s="2"/>
      <c r="O83" s="2"/>
      <c r="P83" s="2"/>
      <c r="Q83" s="2"/>
      <c r="R83" s="3"/>
    </row>
    <row r="84" spans="1:18" ht="12.75">
      <c r="A84" s="6"/>
      <c r="B84" s="22"/>
      <c r="C84" s="21"/>
      <c r="D84" s="2" t="s">
        <v>105</v>
      </c>
      <c r="E84" s="2"/>
      <c r="F84" s="2"/>
      <c r="G84" s="2">
        <v>12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</row>
    <row r="85" spans="1:18" ht="12.75">
      <c r="A85" s="6"/>
      <c r="B85" s="332" t="s">
        <v>104</v>
      </c>
      <c r="C85" s="333"/>
      <c r="D85" s="4"/>
      <c r="E85" s="4"/>
      <c r="F85" s="4"/>
      <c r="G85" s="4">
        <f>SUM(G76:G84)</f>
        <v>108</v>
      </c>
      <c r="H85" s="4">
        <f>SUM(H76:H83)</f>
        <v>36360</v>
      </c>
      <c r="I85" s="4">
        <v>17</v>
      </c>
      <c r="J85" s="4">
        <f>I85*H85/1000</f>
        <v>618.12</v>
      </c>
      <c r="K85" s="4">
        <v>0</v>
      </c>
      <c r="L85" s="4">
        <v>2000</v>
      </c>
      <c r="M85" s="4"/>
      <c r="N85" s="4"/>
      <c r="O85" s="4"/>
      <c r="P85" s="4"/>
      <c r="Q85" s="4"/>
      <c r="R85" s="4">
        <f>J85+M85+Q85</f>
        <v>618.12</v>
      </c>
    </row>
    <row r="86" spans="1:18" ht="12.75">
      <c r="A86" s="6"/>
      <c r="B86" s="2">
        <v>7</v>
      </c>
      <c r="C86" s="2">
        <v>1</v>
      </c>
      <c r="D86" s="2">
        <v>5</v>
      </c>
      <c r="E86" s="2">
        <v>16</v>
      </c>
      <c r="F86" s="2">
        <f>E86*30</f>
        <v>480</v>
      </c>
      <c r="G86" s="2">
        <v>0</v>
      </c>
      <c r="H86" s="2">
        <f>G86*F86</f>
        <v>0</v>
      </c>
      <c r="I86" s="2"/>
      <c r="J86" s="2"/>
      <c r="K86" s="2"/>
      <c r="L86" s="2"/>
      <c r="M86" s="2"/>
      <c r="N86" s="2"/>
      <c r="O86" s="2"/>
      <c r="P86" s="2"/>
      <c r="Q86" s="2"/>
      <c r="R86" s="3"/>
    </row>
    <row r="87" spans="1:18" ht="12.75">
      <c r="A87" s="6"/>
      <c r="B87" s="2"/>
      <c r="C87" s="2">
        <v>1</v>
      </c>
      <c r="D87" s="2">
        <v>6</v>
      </c>
      <c r="E87" s="2">
        <v>15</v>
      </c>
      <c r="F87" s="2">
        <f aca="true" t="shared" si="12" ref="F87:F93">E87*30</f>
        <v>450</v>
      </c>
      <c r="G87" s="2">
        <v>0</v>
      </c>
      <c r="H87" s="2">
        <f aca="true" t="shared" si="13" ref="H87:H94">G87*F87</f>
        <v>0</v>
      </c>
      <c r="I87" s="2"/>
      <c r="J87" s="2"/>
      <c r="K87" s="2"/>
      <c r="L87" s="2"/>
      <c r="M87" s="2"/>
      <c r="N87" s="2"/>
      <c r="O87" s="2"/>
      <c r="P87" s="2"/>
      <c r="Q87" s="2"/>
      <c r="R87" s="3"/>
    </row>
    <row r="88" spans="1:18" ht="12.75">
      <c r="A88" s="6"/>
      <c r="B88" s="2"/>
      <c r="C88" s="2">
        <v>1</v>
      </c>
      <c r="D88" s="2">
        <v>7</v>
      </c>
      <c r="E88" s="2">
        <v>14</v>
      </c>
      <c r="F88" s="2">
        <f t="shared" si="12"/>
        <v>420</v>
      </c>
      <c r="G88" s="2">
        <v>18</v>
      </c>
      <c r="H88" s="2">
        <f t="shared" si="13"/>
        <v>7560</v>
      </c>
      <c r="I88" s="2"/>
      <c r="J88" s="2"/>
      <c r="K88" s="2"/>
      <c r="L88" s="2"/>
      <c r="M88" s="2"/>
      <c r="N88" s="2"/>
      <c r="O88" s="2"/>
      <c r="P88" s="2"/>
      <c r="Q88" s="2"/>
      <c r="R88" s="3"/>
    </row>
    <row r="89" spans="1:18" ht="12.75">
      <c r="A89" s="6"/>
      <c r="B89" s="2"/>
      <c r="C89" s="2">
        <v>1</v>
      </c>
      <c r="D89" s="2">
        <v>8</v>
      </c>
      <c r="E89" s="2">
        <v>13</v>
      </c>
      <c r="F89" s="2">
        <f t="shared" si="12"/>
        <v>390</v>
      </c>
      <c r="G89" s="2">
        <v>18</v>
      </c>
      <c r="H89" s="2">
        <f t="shared" si="13"/>
        <v>7020</v>
      </c>
      <c r="I89" s="2"/>
      <c r="J89" s="2"/>
      <c r="K89" s="2"/>
      <c r="L89" s="2"/>
      <c r="M89" s="2"/>
      <c r="N89" s="2"/>
      <c r="O89" s="2"/>
      <c r="P89" s="2"/>
      <c r="Q89" s="2"/>
      <c r="R89" s="3"/>
    </row>
    <row r="90" spans="1:18" ht="12.75">
      <c r="A90" s="6"/>
      <c r="B90" s="2"/>
      <c r="C90" s="2">
        <v>1</v>
      </c>
      <c r="D90" s="2">
        <v>9</v>
      </c>
      <c r="E90" s="2">
        <v>12</v>
      </c>
      <c r="F90" s="2">
        <f t="shared" si="12"/>
        <v>360</v>
      </c>
      <c r="G90" s="2">
        <v>18</v>
      </c>
      <c r="H90" s="2">
        <f t="shared" si="13"/>
        <v>6480</v>
      </c>
      <c r="I90" s="2"/>
      <c r="J90" s="2"/>
      <c r="K90" s="2"/>
      <c r="L90" s="2"/>
      <c r="M90" s="2"/>
      <c r="N90" s="2"/>
      <c r="O90" s="2"/>
      <c r="P90" s="2"/>
      <c r="Q90" s="2"/>
      <c r="R90" s="3"/>
    </row>
    <row r="91" spans="1:18" ht="12.75">
      <c r="A91" s="6"/>
      <c r="B91" s="2"/>
      <c r="C91" s="2">
        <v>1</v>
      </c>
      <c r="D91" s="2">
        <v>10</v>
      </c>
      <c r="E91" s="2">
        <v>10</v>
      </c>
      <c r="F91" s="2">
        <f t="shared" si="12"/>
        <v>300</v>
      </c>
      <c r="G91" s="2">
        <v>18</v>
      </c>
      <c r="H91" s="2">
        <f t="shared" si="13"/>
        <v>5400</v>
      </c>
      <c r="I91" s="2"/>
      <c r="J91" s="2"/>
      <c r="K91" s="2"/>
      <c r="L91" s="2"/>
      <c r="M91" s="2"/>
      <c r="N91" s="2"/>
      <c r="O91" s="2"/>
      <c r="P91" s="2"/>
      <c r="Q91" s="2"/>
      <c r="R91" s="3"/>
    </row>
    <row r="92" spans="1:18" ht="12.75">
      <c r="A92" s="6"/>
      <c r="B92" s="2"/>
      <c r="C92" s="2">
        <v>1</v>
      </c>
      <c r="D92" s="2">
        <v>11</v>
      </c>
      <c r="E92" s="2">
        <v>10</v>
      </c>
      <c r="F92" s="2">
        <f t="shared" si="12"/>
        <v>300</v>
      </c>
      <c r="G92" s="2">
        <v>12</v>
      </c>
      <c r="H92" s="2">
        <f t="shared" si="13"/>
        <v>3600</v>
      </c>
      <c r="I92" s="2"/>
      <c r="J92" s="2"/>
      <c r="K92" s="2"/>
      <c r="L92" s="2"/>
      <c r="M92" s="2"/>
      <c r="N92" s="2"/>
      <c r="O92" s="2"/>
      <c r="P92" s="2"/>
      <c r="Q92" s="2"/>
      <c r="R92" s="3"/>
    </row>
    <row r="93" spans="1:18" ht="12.75">
      <c r="A93" s="6"/>
      <c r="B93" s="2"/>
      <c r="C93" s="2">
        <v>1</v>
      </c>
      <c r="D93" s="2">
        <v>12</v>
      </c>
      <c r="E93" s="2">
        <v>8</v>
      </c>
      <c r="F93" s="2">
        <f t="shared" si="12"/>
        <v>240</v>
      </c>
      <c r="G93" s="2">
        <v>0</v>
      </c>
      <c r="H93" s="2">
        <f t="shared" si="13"/>
        <v>0</v>
      </c>
      <c r="I93" s="2"/>
      <c r="J93" s="2"/>
      <c r="K93" s="2"/>
      <c r="L93" s="2"/>
      <c r="M93" s="2"/>
      <c r="N93" s="2"/>
      <c r="O93" s="2"/>
      <c r="P93" s="2"/>
      <c r="Q93" s="2"/>
      <c r="R93" s="3"/>
    </row>
    <row r="94" spans="1:18" ht="12.75">
      <c r="A94" s="6"/>
      <c r="B94" s="2"/>
      <c r="C94" s="2"/>
      <c r="D94" s="2" t="s">
        <v>105</v>
      </c>
      <c r="E94" s="2"/>
      <c r="F94" s="2"/>
      <c r="G94" s="2">
        <v>24</v>
      </c>
      <c r="H94" s="2">
        <f t="shared" si="13"/>
        <v>0</v>
      </c>
      <c r="I94" s="2"/>
      <c r="J94" s="2"/>
      <c r="K94" s="2"/>
      <c r="L94" s="2"/>
      <c r="M94" s="2"/>
      <c r="N94" s="2"/>
      <c r="O94" s="2"/>
      <c r="P94" s="2"/>
      <c r="Q94" s="2"/>
      <c r="R94" s="3"/>
    </row>
    <row r="95" spans="1:18" ht="12.75">
      <c r="A95" s="6"/>
      <c r="B95" s="332" t="s">
        <v>106</v>
      </c>
      <c r="C95" s="333"/>
      <c r="D95" s="4"/>
      <c r="E95" s="4"/>
      <c r="F95" s="4"/>
      <c r="G95" s="4">
        <f>SUM(G86:G94)</f>
        <v>108</v>
      </c>
      <c r="H95" s="4">
        <f>SUM(H86:H94)</f>
        <v>30060</v>
      </c>
      <c r="I95" s="4">
        <v>17</v>
      </c>
      <c r="J95" s="4">
        <f>I95*H95/1000</f>
        <v>511.02</v>
      </c>
      <c r="K95" s="4">
        <v>0</v>
      </c>
      <c r="L95" s="4">
        <v>2000</v>
      </c>
      <c r="M95" s="4"/>
      <c r="N95" s="4"/>
      <c r="O95" s="4"/>
      <c r="P95" s="4"/>
      <c r="Q95" s="4"/>
      <c r="R95" s="4">
        <f>J95+M95+Q95</f>
        <v>511.02</v>
      </c>
    </row>
    <row r="96" spans="1:18" ht="12.75">
      <c r="A96" s="6"/>
      <c r="B96" s="2">
        <v>8</v>
      </c>
      <c r="C96" s="2">
        <v>2</v>
      </c>
      <c r="D96" s="2">
        <v>1</v>
      </c>
      <c r="E96" s="2">
        <v>14</v>
      </c>
      <c r="F96" s="2">
        <f>E96*30</f>
        <v>420</v>
      </c>
      <c r="G96" s="2">
        <v>12</v>
      </c>
      <c r="H96" s="2">
        <f>G96*F96</f>
        <v>5040</v>
      </c>
      <c r="I96" s="2"/>
      <c r="J96" s="2"/>
      <c r="K96" s="2"/>
      <c r="L96" s="2"/>
      <c r="M96" s="2"/>
      <c r="N96" s="2"/>
      <c r="O96" s="2"/>
      <c r="P96" s="2"/>
      <c r="Q96" s="2"/>
      <c r="R96" s="3"/>
    </row>
    <row r="97" spans="1:18" ht="12.75">
      <c r="A97" s="6"/>
      <c r="B97" s="2"/>
      <c r="C97" s="2">
        <v>1</v>
      </c>
      <c r="D97" s="2">
        <v>7</v>
      </c>
      <c r="E97" s="2">
        <v>14</v>
      </c>
      <c r="F97" s="2">
        <f aca="true" t="shared" si="14" ref="F97:F102">E97*30</f>
        <v>420</v>
      </c>
      <c r="G97" s="2">
        <v>0</v>
      </c>
      <c r="H97" s="2">
        <f aca="true" t="shared" si="15" ref="H97:H103">G97*F97</f>
        <v>0</v>
      </c>
      <c r="I97" s="2"/>
      <c r="J97" s="2"/>
      <c r="K97" s="2"/>
      <c r="L97" s="2"/>
      <c r="M97" s="2"/>
      <c r="N97" s="2"/>
      <c r="O97" s="2"/>
      <c r="P97" s="2"/>
      <c r="Q97" s="2"/>
      <c r="R97" s="3"/>
    </row>
    <row r="98" spans="1:18" ht="12.75">
      <c r="A98" s="6"/>
      <c r="B98" s="2"/>
      <c r="C98" s="2">
        <v>1</v>
      </c>
      <c r="D98" s="2">
        <v>8</v>
      </c>
      <c r="E98" s="2">
        <v>13</v>
      </c>
      <c r="F98" s="2">
        <f t="shared" si="14"/>
        <v>390</v>
      </c>
      <c r="G98" s="2">
        <v>18</v>
      </c>
      <c r="H98" s="2">
        <f t="shared" si="15"/>
        <v>7020</v>
      </c>
      <c r="I98" s="2"/>
      <c r="J98" s="2"/>
      <c r="K98" s="2"/>
      <c r="L98" s="2"/>
      <c r="M98" s="2"/>
      <c r="N98" s="2"/>
      <c r="O98" s="2"/>
      <c r="P98" s="2"/>
      <c r="Q98" s="2"/>
      <c r="R98" s="3"/>
    </row>
    <row r="99" spans="1:18" ht="12.75">
      <c r="A99" s="6"/>
      <c r="B99" s="2"/>
      <c r="C99" s="2">
        <v>1</v>
      </c>
      <c r="D99" s="2">
        <v>9</v>
      </c>
      <c r="E99" s="2">
        <v>12</v>
      </c>
      <c r="F99" s="2">
        <f t="shared" si="14"/>
        <v>360</v>
      </c>
      <c r="G99" s="2">
        <v>18</v>
      </c>
      <c r="H99" s="2">
        <f t="shared" si="15"/>
        <v>6480</v>
      </c>
      <c r="I99" s="2"/>
      <c r="J99" s="2"/>
      <c r="K99" s="2"/>
      <c r="L99" s="2"/>
      <c r="M99" s="2"/>
      <c r="N99" s="2"/>
      <c r="O99" s="2"/>
      <c r="P99" s="2"/>
      <c r="Q99" s="2"/>
      <c r="R99" s="3"/>
    </row>
    <row r="100" spans="1:18" ht="12.75">
      <c r="A100" s="6"/>
      <c r="B100" s="2"/>
      <c r="C100" s="2">
        <v>1</v>
      </c>
      <c r="D100" s="2">
        <v>10</v>
      </c>
      <c r="E100" s="2">
        <v>10</v>
      </c>
      <c r="F100" s="2">
        <f t="shared" si="14"/>
        <v>300</v>
      </c>
      <c r="G100" s="2">
        <v>18</v>
      </c>
      <c r="H100" s="2">
        <f t="shared" si="15"/>
        <v>5400</v>
      </c>
      <c r="I100" s="2"/>
      <c r="J100" s="2"/>
      <c r="K100" s="2"/>
      <c r="L100" s="2"/>
      <c r="M100" s="2"/>
      <c r="N100" s="2"/>
      <c r="O100" s="2"/>
      <c r="P100" s="2"/>
      <c r="Q100" s="2"/>
      <c r="R100" s="3"/>
    </row>
    <row r="101" spans="1:18" ht="12.75">
      <c r="A101" s="6"/>
      <c r="B101" s="2"/>
      <c r="C101" s="2">
        <v>1</v>
      </c>
      <c r="D101" s="2">
        <v>11</v>
      </c>
      <c r="E101" s="2">
        <v>10</v>
      </c>
      <c r="F101" s="2">
        <f t="shared" si="14"/>
        <v>300</v>
      </c>
      <c r="G101" s="2">
        <v>18</v>
      </c>
      <c r="H101" s="2">
        <f t="shared" si="15"/>
        <v>5400</v>
      </c>
      <c r="I101" s="2"/>
      <c r="J101" s="2"/>
      <c r="K101" s="2"/>
      <c r="L101" s="2"/>
      <c r="M101" s="2"/>
      <c r="N101" s="2"/>
      <c r="O101" s="2"/>
      <c r="P101" s="2"/>
      <c r="Q101" s="2"/>
      <c r="R101" s="3"/>
    </row>
    <row r="102" spans="1:18" ht="12.75">
      <c r="A102" s="6"/>
      <c r="B102" s="2"/>
      <c r="C102" s="2">
        <v>1</v>
      </c>
      <c r="D102" s="2">
        <v>12</v>
      </c>
      <c r="E102" s="2">
        <v>8</v>
      </c>
      <c r="F102" s="2">
        <f t="shared" si="14"/>
        <v>240</v>
      </c>
      <c r="G102" s="2">
        <v>0</v>
      </c>
      <c r="H102" s="2">
        <f t="shared" si="15"/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3"/>
    </row>
    <row r="103" spans="1:18" ht="12.75">
      <c r="A103" s="6"/>
      <c r="B103" s="2"/>
      <c r="C103" s="2">
        <v>1</v>
      </c>
      <c r="D103" s="2" t="s">
        <v>105</v>
      </c>
      <c r="E103" s="2"/>
      <c r="F103" s="2"/>
      <c r="G103" s="2">
        <v>24</v>
      </c>
      <c r="H103" s="2">
        <f t="shared" si="15"/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3"/>
    </row>
    <row r="104" spans="1:18" ht="12.75">
      <c r="A104" s="6"/>
      <c r="B104" s="332" t="s">
        <v>107</v>
      </c>
      <c r="C104" s="333"/>
      <c r="D104" s="4"/>
      <c r="E104" s="4"/>
      <c r="F104" s="4"/>
      <c r="G104" s="4">
        <f>SUM(G96:G103)</f>
        <v>108</v>
      </c>
      <c r="H104" s="4">
        <f>SUM(H96:H103)</f>
        <v>29340</v>
      </c>
      <c r="I104" s="4">
        <v>17</v>
      </c>
      <c r="J104" s="4">
        <f>I104*H104/1000</f>
        <v>498.78</v>
      </c>
      <c r="K104" s="4">
        <v>10</v>
      </c>
      <c r="L104" s="4">
        <v>2000</v>
      </c>
      <c r="M104" s="4">
        <f>L104*K104/1000</f>
        <v>20</v>
      </c>
      <c r="N104" s="4"/>
      <c r="O104" s="4"/>
      <c r="P104" s="4"/>
      <c r="Q104" s="4"/>
      <c r="R104" s="4">
        <f>J104+M104+Q104</f>
        <v>518.78</v>
      </c>
    </row>
    <row r="105" spans="1:18" ht="12.75">
      <c r="A105" s="6"/>
      <c r="B105" s="18">
        <v>9</v>
      </c>
      <c r="C105" s="19">
        <v>2</v>
      </c>
      <c r="D105" s="3">
        <v>1</v>
      </c>
      <c r="E105" s="3">
        <v>14</v>
      </c>
      <c r="F105" s="2">
        <f>E105*30</f>
        <v>420</v>
      </c>
      <c r="G105" s="3">
        <v>12</v>
      </c>
      <c r="H105" s="2">
        <f>G105*F105</f>
        <v>5040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6"/>
      <c r="B106" s="2"/>
      <c r="C106" s="2">
        <v>2</v>
      </c>
      <c r="D106" s="2">
        <v>2</v>
      </c>
      <c r="E106" s="2">
        <v>20</v>
      </c>
      <c r="F106" s="2">
        <f>E106*30</f>
        <v>600</v>
      </c>
      <c r="G106" s="2">
        <v>12</v>
      </c>
      <c r="H106" s="2">
        <f>G106*F106</f>
        <v>7200</v>
      </c>
      <c r="I106" s="2"/>
      <c r="J106" s="2"/>
      <c r="K106" s="2"/>
      <c r="L106" s="2"/>
      <c r="M106" s="2"/>
      <c r="N106" s="2"/>
      <c r="O106" s="2"/>
      <c r="P106" s="2"/>
      <c r="Q106" s="2"/>
      <c r="R106" s="3"/>
    </row>
    <row r="107" spans="1:18" ht="12.75">
      <c r="A107" s="6"/>
      <c r="B107" s="2"/>
      <c r="C107" s="2">
        <v>1</v>
      </c>
      <c r="D107" s="2">
        <v>8</v>
      </c>
      <c r="E107" s="2">
        <v>13</v>
      </c>
      <c r="F107" s="2">
        <f aca="true" t="shared" si="16" ref="F107:F112">E107*30</f>
        <v>390</v>
      </c>
      <c r="G107" s="2">
        <v>0</v>
      </c>
      <c r="H107" s="2">
        <f aca="true" t="shared" si="17" ref="H107:H112">G107*F107</f>
        <v>0</v>
      </c>
      <c r="I107" s="2"/>
      <c r="J107" s="2"/>
      <c r="K107" s="2"/>
      <c r="L107" s="2"/>
      <c r="M107" s="2"/>
      <c r="N107" s="2"/>
      <c r="O107" s="2"/>
      <c r="P107" s="2"/>
      <c r="Q107" s="2"/>
      <c r="R107" s="3"/>
    </row>
    <row r="108" spans="1:18" ht="12.75">
      <c r="A108" s="6"/>
      <c r="B108" s="2"/>
      <c r="C108" s="2">
        <v>1</v>
      </c>
      <c r="D108" s="2">
        <v>9</v>
      </c>
      <c r="E108" s="2">
        <v>12</v>
      </c>
      <c r="F108" s="2">
        <f t="shared" si="16"/>
        <v>360</v>
      </c>
      <c r="G108" s="2">
        <v>18</v>
      </c>
      <c r="H108" s="2">
        <f t="shared" si="17"/>
        <v>6480</v>
      </c>
      <c r="I108" s="2"/>
      <c r="J108" s="2"/>
      <c r="K108" s="2"/>
      <c r="L108" s="2"/>
      <c r="M108" s="2"/>
      <c r="N108" s="2"/>
      <c r="O108" s="2"/>
      <c r="P108" s="2"/>
      <c r="Q108" s="2"/>
      <c r="R108" s="3"/>
    </row>
    <row r="109" spans="1:18" ht="12.75">
      <c r="A109" s="6"/>
      <c r="B109" s="2"/>
      <c r="C109" s="2">
        <v>1</v>
      </c>
      <c r="D109" s="2">
        <v>10</v>
      </c>
      <c r="E109" s="2">
        <v>10</v>
      </c>
      <c r="F109" s="2">
        <f t="shared" si="16"/>
        <v>300</v>
      </c>
      <c r="G109" s="2">
        <v>18</v>
      </c>
      <c r="H109" s="2">
        <f t="shared" si="17"/>
        <v>5400</v>
      </c>
      <c r="I109" s="2"/>
      <c r="J109" s="2"/>
      <c r="K109" s="2"/>
      <c r="L109" s="2"/>
      <c r="M109" s="2"/>
      <c r="N109" s="2"/>
      <c r="O109" s="2"/>
      <c r="P109" s="2"/>
      <c r="Q109" s="2"/>
      <c r="R109" s="3"/>
    </row>
    <row r="110" spans="1:18" ht="12.75">
      <c r="A110" s="6"/>
      <c r="B110" s="2"/>
      <c r="C110" s="2">
        <v>1</v>
      </c>
      <c r="D110" s="2">
        <v>11</v>
      </c>
      <c r="E110" s="2">
        <v>10</v>
      </c>
      <c r="F110" s="2">
        <f t="shared" si="16"/>
        <v>300</v>
      </c>
      <c r="G110" s="2">
        <v>18</v>
      </c>
      <c r="H110" s="2">
        <f t="shared" si="17"/>
        <v>5400</v>
      </c>
      <c r="I110" s="2"/>
      <c r="J110" s="2"/>
      <c r="K110" s="2"/>
      <c r="L110" s="2"/>
      <c r="M110" s="2"/>
      <c r="N110" s="2"/>
      <c r="O110" s="2"/>
      <c r="P110" s="2"/>
      <c r="Q110" s="2"/>
      <c r="R110" s="3"/>
    </row>
    <row r="111" spans="1:18" ht="12.75">
      <c r="A111" s="6"/>
      <c r="B111" s="2"/>
      <c r="C111" s="2">
        <v>1</v>
      </c>
      <c r="D111" s="2">
        <v>12</v>
      </c>
      <c r="E111" s="2">
        <v>8</v>
      </c>
      <c r="F111" s="2">
        <f t="shared" si="16"/>
        <v>240</v>
      </c>
      <c r="G111" s="2">
        <v>6</v>
      </c>
      <c r="H111" s="2">
        <f t="shared" si="17"/>
        <v>1440</v>
      </c>
      <c r="I111" s="2"/>
      <c r="J111" s="2"/>
      <c r="K111" s="2"/>
      <c r="L111" s="2"/>
      <c r="M111" s="2"/>
      <c r="N111" s="2"/>
      <c r="O111" s="2"/>
      <c r="P111" s="2"/>
      <c r="Q111" s="2"/>
      <c r="R111" s="3"/>
    </row>
    <row r="112" spans="1:18" ht="12.75">
      <c r="A112" s="6"/>
      <c r="B112" s="2"/>
      <c r="C112" s="2">
        <v>1</v>
      </c>
      <c r="D112" s="2" t="s">
        <v>105</v>
      </c>
      <c r="E112" s="2"/>
      <c r="F112" s="2">
        <f t="shared" si="16"/>
        <v>0</v>
      </c>
      <c r="G112" s="2">
        <v>24</v>
      </c>
      <c r="H112" s="2">
        <f t="shared" si="17"/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3"/>
    </row>
    <row r="113" spans="1:18" ht="12.75">
      <c r="A113" s="6"/>
      <c r="B113" s="332" t="s">
        <v>95</v>
      </c>
      <c r="C113" s="333"/>
      <c r="D113" s="4"/>
      <c r="E113" s="4"/>
      <c r="F113" s="4"/>
      <c r="G113" s="4">
        <f>SUM(G105:G112)</f>
        <v>108</v>
      </c>
      <c r="H113" s="4">
        <f>SUM(H105:H112)</f>
        <v>30960</v>
      </c>
      <c r="I113" s="4">
        <v>17</v>
      </c>
      <c r="J113" s="4">
        <f>I113*H113/1000</f>
        <v>526.32</v>
      </c>
      <c r="K113" s="4">
        <v>10</v>
      </c>
      <c r="L113" s="4">
        <v>2000</v>
      </c>
      <c r="M113" s="4">
        <f>L113*K113/1000</f>
        <v>20</v>
      </c>
      <c r="N113" s="4"/>
      <c r="O113" s="4"/>
      <c r="P113" s="4"/>
      <c r="Q113" s="4"/>
      <c r="R113" s="4">
        <f>J113+M113+Q113</f>
        <v>546.32</v>
      </c>
    </row>
    <row r="114" spans="1:18" ht="12.75">
      <c r="A114" s="6"/>
      <c r="B114" s="2">
        <v>10</v>
      </c>
      <c r="C114" s="2">
        <v>2</v>
      </c>
      <c r="D114" s="2">
        <v>1</v>
      </c>
      <c r="E114" s="2">
        <v>14</v>
      </c>
      <c r="F114" s="2">
        <f>E114*30</f>
        <v>420</v>
      </c>
      <c r="G114" s="2">
        <v>12</v>
      </c>
      <c r="H114" s="2">
        <f>G114*F114</f>
        <v>5040</v>
      </c>
      <c r="I114" s="2"/>
      <c r="J114" s="2"/>
      <c r="K114" s="2"/>
      <c r="L114" s="2"/>
      <c r="M114" s="2"/>
      <c r="N114" s="2"/>
      <c r="O114" s="2"/>
      <c r="P114" s="2"/>
      <c r="Q114" s="2"/>
      <c r="R114" s="3"/>
    </row>
    <row r="115" spans="1:18" ht="12.75">
      <c r="A115" s="6"/>
      <c r="B115" s="2"/>
      <c r="C115" s="2">
        <v>2</v>
      </c>
      <c r="D115" s="2">
        <v>2</v>
      </c>
      <c r="E115" s="2">
        <v>20</v>
      </c>
      <c r="F115" s="2">
        <f aca="true" t="shared" si="18" ref="F115:F121">E115*30</f>
        <v>600</v>
      </c>
      <c r="G115" s="2">
        <v>12</v>
      </c>
      <c r="H115" s="2">
        <f aca="true" t="shared" si="19" ref="H115:H121">G115*F115</f>
        <v>7200</v>
      </c>
      <c r="I115" s="2"/>
      <c r="J115" s="2"/>
      <c r="K115" s="2"/>
      <c r="L115" s="2"/>
      <c r="M115" s="2"/>
      <c r="N115" s="2"/>
      <c r="O115" s="2"/>
      <c r="P115" s="2"/>
      <c r="Q115" s="2"/>
      <c r="R115" s="3"/>
    </row>
    <row r="116" spans="1:18" ht="12.75">
      <c r="A116" s="6"/>
      <c r="B116" s="2"/>
      <c r="C116" s="2">
        <v>2</v>
      </c>
      <c r="D116" s="2">
        <v>3</v>
      </c>
      <c r="E116" s="2">
        <v>20</v>
      </c>
      <c r="F116" s="2">
        <f t="shared" si="18"/>
        <v>600</v>
      </c>
      <c r="G116" s="2">
        <v>12</v>
      </c>
      <c r="H116" s="2">
        <f t="shared" si="19"/>
        <v>7200</v>
      </c>
      <c r="I116" s="2"/>
      <c r="J116" s="2"/>
      <c r="K116" s="2"/>
      <c r="L116" s="2"/>
      <c r="M116" s="2"/>
      <c r="N116" s="2"/>
      <c r="O116" s="2"/>
      <c r="P116" s="2"/>
      <c r="Q116" s="2"/>
      <c r="R116" s="3"/>
    </row>
    <row r="117" spans="1:18" ht="12.75">
      <c r="A117" s="6"/>
      <c r="B117" s="2"/>
      <c r="C117" s="2">
        <v>1</v>
      </c>
      <c r="D117" s="2">
        <v>9</v>
      </c>
      <c r="E117" s="2">
        <v>12</v>
      </c>
      <c r="F117" s="2">
        <f t="shared" si="18"/>
        <v>360</v>
      </c>
      <c r="G117" s="2">
        <v>0</v>
      </c>
      <c r="H117" s="2">
        <f t="shared" si="19"/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3"/>
    </row>
    <row r="118" spans="1:18" ht="12.75">
      <c r="A118" s="6"/>
      <c r="B118" s="2"/>
      <c r="C118" s="2">
        <v>1</v>
      </c>
      <c r="D118" s="2">
        <v>10</v>
      </c>
      <c r="E118" s="2">
        <v>10</v>
      </c>
      <c r="F118" s="2">
        <f t="shared" si="18"/>
        <v>300</v>
      </c>
      <c r="G118" s="2">
        <v>18</v>
      </c>
      <c r="H118" s="2">
        <f t="shared" si="19"/>
        <v>5400</v>
      </c>
      <c r="I118" s="2"/>
      <c r="J118" s="2"/>
      <c r="K118" s="2"/>
      <c r="L118" s="2"/>
      <c r="M118" s="2"/>
      <c r="N118" s="2"/>
      <c r="O118" s="2"/>
      <c r="P118" s="2"/>
      <c r="Q118" s="2"/>
      <c r="R118" s="3"/>
    </row>
    <row r="119" spans="1:18" ht="12.75">
      <c r="A119" s="6"/>
      <c r="B119" s="2"/>
      <c r="C119" s="2">
        <v>1</v>
      </c>
      <c r="D119" s="2">
        <v>11</v>
      </c>
      <c r="E119" s="2">
        <v>10</v>
      </c>
      <c r="F119" s="2">
        <f t="shared" si="18"/>
        <v>300</v>
      </c>
      <c r="G119" s="2">
        <v>18</v>
      </c>
      <c r="H119" s="2">
        <f t="shared" si="19"/>
        <v>5400</v>
      </c>
      <c r="I119" s="2"/>
      <c r="J119" s="2"/>
      <c r="K119" s="2"/>
      <c r="L119" s="2"/>
      <c r="M119" s="2"/>
      <c r="N119" s="2"/>
      <c r="O119" s="2"/>
      <c r="P119" s="2"/>
      <c r="Q119" s="2"/>
      <c r="R119" s="3"/>
    </row>
    <row r="120" spans="1:18" ht="12.75">
      <c r="A120" s="6"/>
      <c r="B120" s="2"/>
      <c r="C120" s="2">
        <v>1</v>
      </c>
      <c r="D120" s="2" t="s">
        <v>108</v>
      </c>
      <c r="E120" s="2">
        <v>8</v>
      </c>
      <c r="F120" s="2">
        <f t="shared" si="18"/>
        <v>240</v>
      </c>
      <c r="G120" s="2">
        <v>12</v>
      </c>
      <c r="H120" s="2">
        <f t="shared" si="19"/>
        <v>2880</v>
      </c>
      <c r="I120" s="2"/>
      <c r="J120" s="2"/>
      <c r="K120" s="2"/>
      <c r="L120" s="2"/>
      <c r="M120" s="2"/>
      <c r="N120" s="2"/>
      <c r="O120" s="2"/>
      <c r="P120" s="2"/>
      <c r="Q120" s="2"/>
      <c r="R120" s="3"/>
    </row>
    <row r="121" spans="1:18" ht="12.75">
      <c r="A121" s="6"/>
      <c r="B121" s="2"/>
      <c r="C121" s="2">
        <v>1</v>
      </c>
      <c r="D121" s="2" t="s">
        <v>105</v>
      </c>
      <c r="E121" s="2"/>
      <c r="F121" s="2">
        <f t="shared" si="18"/>
        <v>0</v>
      </c>
      <c r="G121" s="2">
        <v>24</v>
      </c>
      <c r="H121" s="2">
        <f t="shared" si="19"/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3"/>
    </row>
    <row r="122" spans="1:18" ht="12.75">
      <c r="A122" s="6"/>
      <c r="B122" s="332" t="s">
        <v>96</v>
      </c>
      <c r="C122" s="333"/>
      <c r="D122" s="4"/>
      <c r="E122" s="4"/>
      <c r="F122" s="4"/>
      <c r="G122" s="4">
        <f>SUM(G114:G121)</f>
        <v>108</v>
      </c>
      <c r="H122" s="4">
        <f>SUM(H114:H121)</f>
        <v>33120</v>
      </c>
      <c r="I122" s="4">
        <v>17</v>
      </c>
      <c r="J122" s="4">
        <f>I122*H122/1000</f>
        <v>563.04</v>
      </c>
      <c r="K122" s="4">
        <v>10</v>
      </c>
      <c r="L122" s="4">
        <v>2000</v>
      </c>
      <c r="M122" s="4">
        <f>L122*K122/1000</f>
        <v>20</v>
      </c>
      <c r="N122" s="4"/>
      <c r="O122" s="4"/>
      <c r="P122" s="4"/>
      <c r="Q122" s="4"/>
      <c r="R122" s="4">
        <f>J122+M122+Q122</f>
        <v>583.04</v>
      </c>
    </row>
    <row r="123" spans="1:18" ht="12.75">
      <c r="A123" s="6"/>
      <c r="B123" s="2">
        <v>11</v>
      </c>
      <c r="C123" s="2">
        <v>2</v>
      </c>
      <c r="D123" s="2">
        <v>1</v>
      </c>
      <c r="E123" s="2">
        <v>14</v>
      </c>
      <c r="F123" s="2">
        <f>E123*30</f>
        <v>420</v>
      </c>
      <c r="G123" s="2">
        <v>12</v>
      </c>
      <c r="H123" s="2">
        <f>G123*F123</f>
        <v>5040</v>
      </c>
      <c r="I123" s="2"/>
      <c r="J123" s="2"/>
      <c r="K123" s="2"/>
      <c r="L123" s="2"/>
      <c r="M123" s="2"/>
      <c r="N123" s="2"/>
      <c r="O123" s="2"/>
      <c r="P123" s="2"/>
      <c r="Q123" s="2"/>
      <c r="R123" s="3"/>
    </row>
    <row r="124" spans="1:18" ht="12.75">
      <c r="A124" s="6"/>
      <c r="B124" s="2"/>
      <c r="C124" s="2">
        <v>2</v>
      </c>
      <c r="D124" s="2">
        <v>2</v>
      </c>
      <c r="E124" s="2">
        <v>20</v>
      </c>
      <c r="F124" s="2">
        <f aca="true" t="shared" si="20" ref="F124:F130">E124*30</f>
        <v>600</v>
      </c>
      <c r="G124" s="2">
        <v>12</v>
      </c>
      <c r="H124" s="2">
        <f aca="true" t="shared" si="21" ref="H124:H130">G124*F124</f>
        <v>7200</v>
      </c>
      <c r="I124" s="2"/>
      <c r="J124" s="2"/>
      <c r="K124" s="2"/>
      <c r="L124" s="2"/>
      <c r="M124" s="2"/>
      <c r="N124" s="2"/>
      <c r="O124" s="2"/>
      <c r="P124" s="2"/>
      <c r="Q124" s="2"/>
      <c r="R124" s="3"/>
    </row>
    <row r="125" spans="1:18" ht="12.75">
      <c r="A125" s="6"/>
      <c r="B125" s="2"/>
      <c r="C125" s="2">
        <v>2</v>
      </c>
      <c r="D125" s="2">
        <v>3</v>
      </c>
      <c r="E125" s="2">
        <v>20</v>
      </c>
      <c r="F125" s="2">
        <f t="shared" si="20"/>
        <v>600</v>
      </c>
      <c r="G125" s="2">
        <v>12</v>
      </c>
      <c r="H125" s="2">
        <f t="shared" si="21"/>
        <v>7200</v>
      </c>
      <c r="I125" s="2"/>
      <c r="J125" s="2"/>
      <c r="K125" s="2"/>
      <c r="L125" s="2"/>
      <c r="M125" s="2"/>
      <c r="N125" s="2"/>
      <c r="O125" s="2"/>
      <c r="P125" s="2"/>
      <c r="Q125" s="2"/>
      <c r="R125" s="3"/>
    </row>
    <row r="126" spans="1:18" ht="12.75">
      <c r="A126" s="6"/>
      <c r="B126" s="2"/>
      <c r="C126" s="2">
        <v>2</v>
      </c>
      <c r="D126" s="2">
        <v>4</v>
      </c>
      <c r="E126" s="2">
        <v>19</v>
      </c>
      <c r="F126" s="2">
        <f t="shared" si="20"/>
        <v>570</v>
      </c>
      <c r="G126" s="2">
        <v>12</v>
      </c>
      <c r="H126" s="2">
        <f t="shared" si="21"/>
        <v>6840</v>
      </c>
      <c r="I126" s="2"/>
      <c r="J126" s="2"/>
      <c r="K126" s="2"/>
      <c r="L126" s="2"/>
      <c r="M126" s="2"/>
      <c r="N126" s="2"/>
      <c r="O126" s="2"/>
      <c r="P126" s="2"/>
      <c r="Q126" s="2"/>
      <c r="R126" s="3"/>
    </row>
    <row r="127" spans="1:18" ht="12.75">
      <c r="A127" s="6"/>
      <c r="B127" s="2"/>
      <c r="C127" s="2">
        <v>1</v>
      </c>
      <c r="D127" s="2">
        <v>10</v>
      </c>
      <c r="E127" s="2">
        <v>10</v>
      </c>
      <c r="F127" s="2">
        <f t="shared" si="20"/>
        <v>300</v>
      </c>
      <c r="G127" s="2">
        <v>0</v>
      </c>
      <c r="H127" s="2">
        <f t="shared" si="21"/>
        <v>0</v>
      </c>
      <c r="I127" s="2"/>
      <c r="J127" s="2"/>
      <c r="K127" s="2"/>
      <c r="L127" s="2"/>
      <c r="M127" s="2"/>
      <c r="N127" s="2"/>
      <c r="O127" s="2"/>
      <c r="P127" s="2"/>
      <c r="Q127" s="2"/>
      <c r="R127" s="3"/>
    </row>
    <row r="128" spans="1:18" ht="12.75">
      <c r="A128" s="6"/>
      <c r="B128" s="2"/>
      <c r="C128" s="2">
        <v>1</v>
      </c>
      <c r="D128" s="2">
        <v>11</v>
      </c>
      <c r="E128" s="2">
        <v>10</v>
      </c>
      <c r="F128" s="2">
        <f t="shared" si="20"/>
        <v>300</v>
      </c>
      <c r="G128" s="2">
        <v>18</v>
      </c>
      <c r="H128" s="2">
        <f t="shared" si="21"/>
        <v>5400</v>
      </c>
      <c r="I128" s="2"/>
      <c r="J128" s="2"/>
      <c r="K128" s="2"/>
      <c r="L128" s="2"/>
      <c r="M128" s="2"/>
      <c r="N128" s="2"/>
      <c r="O128" s="2"/>
      <c r="P128" s="2"/>
      <c r="Q128" s="2"/>
      <c r="R128" s="3"/>
    </row>
    <row r="129" spans="1:18" ht="12.75">
      <c r="A129" s="6"/>
      <c r="B129" s="2"/>
      <c r="C129" s="2">
        <v>1</v>
      </c>
      <c r="D129" s="2" t="s">
        <v>108</v>
      </c>
      <c r="E129" s="2">
        <v>8</v>
      </c>
      <c r="F129" s="2">
        <f t="shared" si="20"/>
        <v>240</v>
      </c>
      <c r="G129" s="2">
        <v>18</v>
      </c>
      <c r="H129" s="2">
        <f t="shared" si="21"/>
        <v>4320</v>
      </c>
      <c r="I129" s="2"/>
      <c r="J129" s="2"/>
      <c r="K129" s="2"/>
      <c r="L129" s="2"/>
      <c r="M129" s="2"/>
      <c r="N129" s="2"/>
      <c r="O129" s="2"/>
      <c r="P129" s="2"/>
      <c r="Q129" s="2"/>
      <c r="R129" s="3"/>
    </row>
    <row r="130" spans="1:18" ht="12.75">
      <c r="A130" s="6"/>
      <c r="B130" s="2"/>
      <c r="C130" s="2">
        <v>1</v>
      </c>
      <c r="D130" s="2" t="s">
        <v>105</v>
      </c>
      <c r="E130" s="2"/>
      <c r="F130" s="2">
        <f t="shared" si="20"/>
        <v>0</v>
      </c>
      <c r="G130" s="2">
        <v>24</v>
      </c>
      <c r="H130" s="2">
        <f t="shared" si="21"/>
        <v>0</v>
      </c>
      <c r="I130" s="2"/>
      <c r="J130" s="2"/>
      <c r="K130" s="2"/>
      <c r="L130" s="2"/>
      <c r="M130" s="2"/>
      <c r="N130" s="2"/>
      <c r="O130" s="2"/>
      <c r="P130" s="2"/>
      <c r="Q130" s="2"/>
      <c r="R130" s="3"/>
    </row>
    <row r="131" spans="1:18" ht="12.75">
      <c r="A131" s="6"/>
      <c r="B131" s="332" t="s">
        <v>97</v>
      </c>
      <c r="C131" s="333"/>
      <c r="D131" s="4"/>
      <c r="E131" s="4"/>
      <c r="F131" s="4"/>
      <c r="G131" s="4">
        <f>SUM(G123:G130)</f>
        <v>108</v>
      </c>
      <c r="H131" s="4">
        <f>SUM(H123:H130)</f>
        <v>36000</v>
      </c>
      <c r="I131" s="4">
        <v>17</v>
      </c>
      <c r="J131" s="4">
        <f>I131*H131/1000</f>
        <v>612</v>
      </c>
      <c r="K131" s="4">
        <v>10</v>
      </c>
      <c r="L131" s="4">
        <v>2000</v>
      </c>
      <c r="M131" s="4">
        <f>L131*K131/1000</f>
        <v>20</v>
      </c>
      <c r="N131" s="4"/>
      <c r="O131" s="4"/>
      <c r="P131" s="4"/>
      <c r="Q131" s="4"/>
      <c r="R131" s="4">
        <f>J131+M131+Q131</f>
        <v>632</v>
      </c>
    </row>
    <row r="132" spans="1:18" ht="12.75">
      <c r="A132" s="6"/>
      <c r="B132" s="2">
        <v>12</v>
      </c>
      <c r="C132" s="2">
        <v>2</v>
      </c>
      <c r="D132" s="2">
        <v>1</v>
      </c>
      <c r="E132" s="2">
        <v>14</v>
      </c>
      <c r="F132" s="2">
        <f>E132*30</f>
        <v>420</v>
      </c>
      <c r="G132" s="2">
        <v>12</v>
      </c>
      <c r="H132" s="2">
        <f>G132*F132</f>
        <v>5040</v>
      </c>
      <c r="I132" s="2"/>
      <c r="J132" s="2"/>
      <c r="K132" s="2"/>
      <c r="L132" s="2"/>
      <c r="M132" s="2"/>
      <c r="N132" s="2"/>
      <c r="O132" s="2"/>
      <c r="P132" s="2"/>
      <c r="Q132" s="2"/>
      <c r="R132" s="3"/>
    </row>
    <row r="133" spans="1:18" ht="12.75">
      <c r="A133" s="6"/>
      <c r="B133" s="2"/>
      <c r="C133" s="2">
        <v>2</v>
      </c>
      <c r="D133" s="2">
        <v>2</v>
      </c>
      <c r="E133" s="2">
        <v>20</v>
      </c>
      <c r="F133" s="2">
        <f aca="true" t="shared" si="22" ref="F133:F139">E133*30</f>
        <v>600</v>
      </c>
      <c r="G133" s="2">
        <v>12</v>
      </c>
      <c r="H133" s="2">
        <f aca="true" t="shared" si="23" ref="H133:H139">G133*F133</f>
        <v>7200</v>
      </c>
      <c r="I133" s="2"/>
      <c r="J133" s="2"/>
      <c r="K133" s="2"/>
      <c r="L133" s="2"/>
      <c r="M133" s="2"/>
      <c r="N133" s="2"/>
      <c r="O133" s="2"/>
      <c r="P133" s="2"/>
      <c r="Q133" s="2"/>
      <c r="R133" s="3"/>
    </row>
    <row r="134" spans="1:18" ht="12.75">
      <c r="A134" s="6"/>
      <c r="B134" s="2"/>
      <c r="C134" s="2">
        <v>2</v>
      </c>
      <c r="D134" s="2">
        <v>3</v>
      </c>
      <c r="E134" s="2">
        <v>20</v>
      </c>
      <c r="F134" s="2">
        <f t="shared" si="22"/>
        <v>600</v>
      </c>
      <c r="G134" s="2">
        <v>12</v>
      </c>
      <c r="H134" s="2">
        <f t="shared" si="23"/>
        <v>7200</v>
      </c>
      <c r="I134" s="2"/>
      <c r="J134" s="2"/>
      <c r="K134" s="2"/>
      <c r="L134" s="2"/>
      <c r="M134" s="2"/>
      <c r="N134" s="2"/>
      <c r="O134" s="2"/>
      <c r="P134" s="2"/>
      <c r="Q134" s="2"/>
      <c r="R134" s="3"/>
    </row>
    <row r="135" spans="1:18" ht="12.75">
      <c r="A135" s="6"/>
      <c r="B135" s="2"/>
      <c r="C135" s="2">
        <v>2</v>
      </c>
      <c r="D135" s="2">
        <v>4</v>
      </c>
      <c r="E135" s="2">
        <v>19</v>
      </c>
      <c r="F135" s="2">
        <f t="shared" si="22"/>
        <v>570</v>
      </c>
      <c r="G135" s="2">
        <v>12</v>
      </c>
      <c r="H135" s="2">
        <f t="shared" si="23"/>
        <v>6840</v>
      </c>
      <c r="I135" s="2"/>
      <c r="J135" s="2"/>
      <c r="K135" s="2"/>
      <c r="L135" s="2"/>
      <c r="M135" s="2"/>
      <c r="N135" s="2"/>
      <c r="O135" s="2"/>
      <c r="P135" s="2"/>
      <c r="Q135" s="2"/>
      <c r="R135" s="3"/>
    </row>
    <row r="136" spans="1:18" ht="12.75">
      <c r="A136" s="6"/>
      <c r="B136" s="2"/>
      <c r="C136" s="2">
        <v>2</v>
      </c>
      <c r="D136" s="2">
        <v>5</v>
      </c>
      <c r="E136" s="2">
        <v>18</v>
      </c>
      <c r="F136" s="2">
        <f t="shared" si="22"/>
        <v>540</v>
      </c>
      <c r="G136" s="2">
        <v>12</v>
      </c>
      <c r="H136" s="2">
        <f t="shared" si="23"/>
        <v>6480</v>
      </c>
      <c r="I136" s="2"/>
      <c r="J136" s="2"/>
      <c r="K136" s="2"/>
      <c r="L136" s="2"/>
      <c r="M136" s="2"/>
      <c r="N136" s="2"/>
      <c r="O136" s="2"/>
      <c r="P136" s="2"/>
      <c r="Q136" s="2"/>
      <c r="R136" s="3"/>
    </row>
    <row r="137" spans="1:18" ht="12.75">
      <c r="A137" s="6"/>
      <c r="B137" s="2"/>
      <c r="C137" s="2">
        <v>1</v>
      </c>
      <c r="D137" s="2">
        <v>11</v>
      </c>
      <c r="E137" s="2">
        <v>10</v>
      </c>
      <c r="F137" s="2">
        <f t="shared" si="22"/>
        <v>300</v>
      </c>
      <c r="G137" s="2">
        <v>0</v>
      </c>
      <c r="H137" s="2">
        <f t="shared" si="23"/>
        <v>0</v>
      </c>
      <c r="I137" s="2"/>
      <c r="J137" s="2"/>
      <c r="K137" s="2"/>
      <c r="L137" s="2"/>
      <c r="M137" s="2"/>
      <c r="N137" s="2"/>
      <c r="O137" s="2"/>
      <c r="P137" s="2"/>
      <c r="Q137" s="2"/>
      <c r="R137" s="3"/>
    </row>
    <row r="138" spans="1:18" ht="12.75">
      <c r="A138" s="6"/>
      <c r="B138" s="2"/>
      <c r="C138" s="2">
        <v>1</v>
      </c>
      <c r="D138" s="2" t="s">
        <v>108</v>
      </c>
      <c r="E138" s="2">
        <v>8</v>
      </c>
      <c r="F138" s="2">
        <f t="shared" si="22"/>
        <v>240</v>
      </c>
      <c r="G138" s="2">
        <v>24</v>
      </c>
      <c r="H138" s="2">
        <f t="shared" si="23"/>
        <v>5760</v>
      </c>
      <c r="I138" s="2"/>
      <c r="J138" s="2"/>
      <c r="K138" s="2"/>
      <c r="L138" s="2"/>
      <c r="M138" s="2"/>
      <c r="N138" s="2"/>
      <c r="O138" s="2"/>
      <c r="P138" s="2"/>
      <c r="Q138" s="2"/>
      <c r="R138" s="3"/>
    </row>
    <row r="139" spans="1:18" ht="12.75">
      <c r="A139" s="6"/>
      <c r="B139" s="2"/>
      <c r="C139" s="2">
        <v>1</v>
      </c>
      <c r="D139" s="2" t="s">
        <v>105</v>
      </c>
      <c r="E139" s="2"/>
      <c r="F139" s="2">
        <f t="shared" si="22"/>
        <v>0</v>
      </c>
      <c r="G139" s="2">
        <v>24</v>
      </c>
      <c r="H139" s="2">
        <f t="shared" si="23"/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3"/>
    </row>
    <row r="140" spans="1:18" ht="12.75">
      <c r="A140" s="6"/>
      <c r="B140" s="332" t="s">
        <v>98</v>
      </c>
      <c r="C140" s="333"/>
      <c r="D140" s="4"/>
      <c r="E140" s="4"/>
      <c r="F140" s="4"/>
      <c r="G140" s="4">
        <f>SUM(G132:G139)</f>
        <v>108</v>
      </c>
      <c r="H140" s="4">
        <f>SUM(H132:H139)</f>
        <v>38520</v>
      </c>
      <c r="I140" s="4">
        <v>17</v>
      </c>
      <c r="J140" s="4">
        <f>I140*H140/1000</f>
        <v>654.84</v>
      </c>
      <c r="K140" s="4">
        <v>10</v>
      </c>
      <c r="L140" s="4">
        <v>2000</v>
      </c>
      <c r="M140" s="4">
        <f>L140*K140/1000</f>
        <v>20</v>
      </c>
      <c r="N140" s="4"/>
      <c r="O140" s="4"/>
      <c r="P140" s="4"/>
      <c r="Q140" s="4"/>
      <c r="R140" s="4">
        <f>J140+M140+Q140</f>
        <v>674.84</v>
      </c>
    </row>
    <row r="141" spans="1:18" ht="12.75">
      <c r="A141" s="320" t="s">
        <v>58</v>
      </c>
      <c r="B141" s="319"/>
      <c r="C141" s="350"/>
      <c r="D141" s="6"/>
      <c r="E141" s="6"/>
      <c r="F141" s="6"/>
      <c r="G141" s="6"/>
      <c r="H141" s="145">
        <f>H140+H131+H122+H113+H104+H95+H85+H75+H66+H57+H48+H40</f>
        <v>479520</v>
      </c>
      <c r="I141" s="6"/>
      <c r="J141" s="6">
        <f>J140+J131+J122+J113+J104+J95+J85+J75+J66+J57+J48+J40</f>
        <v>8151.84</v>
      </c>
      <c r="K141" s="6">
        <f>K140+K131+K122+K113+K104+K95+K85+K75+K66+K57+K48+K40</f>
        <v>65</v>
      </c>
      <c r="L141" s="6"/>
      <c r="M141" s="6">
        <f>M140+M131+M122+M113+M104+M95+M85+M75+M66+M57+M48+M40</f>
        <v>130</v>
      </c>
      <c r="N141" s="6"/>
      <c r="O141" s="6"/>
      <c r="P141" s="6"/>
      <c r="Q141" s="6"/>
      <c r="R141" s="6">
        <f>R140+R131+R122+R113+R104+R95+R85+R75+R66+R57+R48+R40</f>
        <v>8281.84</v>
      </c>
    </row>
    <row r="142" spans="1:18" s="318" customFormat="1" ht="12.75">
      <c r="A142" s="360" t="s">
        <v>0</v>
      </c>
      <c r="B142" s="360" t="s">
        <v>1</v>
      </c>
      <c r="C142" s="360" t="s">
        <v>84</v>
      </c>
      <c r="D142" s="360"/>
      <c r="E142" s="360"/>
      <c r="F142" s="360"/>
      <c r="G142" s="360"/>
      <c r="H142" s="360"/>
      <c r="I142" s="360"/>
      <c r="J142" s="360"/>
      <c r="K142" s="360" t="s">
        <v>148</v>
      </c>
      <c r="L142" s="360"/>
      <c r="M142" s="360"/>
      <c r="N142" s="360" t="s">
        <v>85</v>
      </c>
      <c r="O142" s="360"/>
      <c r="P142" s="360"/>
      <c r="Q142" s="360"/>
      <c r="R142" s="363" t="s">
        <v>182</v>
      </c>
    </row>
    <row r="143" spans="1:18" s="318" customFormat="1" ht="63.75">
      <c r="A143" s="360"/>
      <c r="B143" s="360"/>
      <c r="C143" s="15" t="s">
        <v>86</v>
      </c>
      <c r="D143" s="15" t="s">
        <v>87</v>
      </c>
      <c r="E143" s="15" t="s">
        <v>88</v>
      </c>
      <c r="F143" s="15" t="s">
        <v>89</v>
      </c>
      <c r="G143" s="15" t="s">
        <v>90</v>
      </c>
      <c r="H143" s="15" t="s">
        <v>91</v>
      </c>
      <c r="I143" s="144" t="s">
        <v>180</v>
      </c>
      <c r="J143" s="144" t="s">
        <v>181</v>
      </c>
      <c r="K143" s="15" t="s">
        <v>92</v>
      </c>
      <c r="L143" s="144" t="s">
        <v>179</v>
      </c>
      <c r="M143" s="144" t="s">
        <v>181</v>
      </c>
      <c r="N143" s="15" t="s">
        <v>92</v>
      </c>
      <c r="O143" s="15" t="s">
        <v>93</v>
      </c>
      <c r="P143" s="144" t="s">
        <v>94</v>
      </c>
      <c r="Q143" s="144" t="s">
        <v>181</v>
      </c>
      <c r="R143" s="360"/>
    </row>
    <row r="144" spans="1:18" ht="12.75">
      <c r="A144" s="8">
        <v>3</v>
      </c>
      <c r="B144" s="2">
        <v>1</v>
      </c>
      <c r="C144" s="2">
        <v>2</v>
      </c>
      <c r="D144" s="2">
        <v>1</v>
      </c>
      <c r="E144" s="2">
        <v>14</v>
      </c>
      <c r="F144" s="2">
        <f>E144*30</f>
        <v>420</v>
      </c>
      <c r="G144" s="2">
        <v>12</v>
      </c>
      <c r="H144" s="2">
        <f>G144*F144</f>
        <v>5040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2.75">
      <c r="A145" s="8"/>
      <c r="B145" s="2"/>
      <c r="C145" s="2">
        <v>2</v>
      </c>
      <c r="D145" s="2">
        <v>2</v>
      </c>
      <c r="E145" s="2">
        <v>20</v>
      </c>
      <c r="F145" s="2">
        <f aca="true" t="shared" si="24" ref="F145:F151">E145*30</f>
        <v>600</v>
      </c>
      <c r="G145" s="2">
        <v>12</v>
      </c>
      <c r="H145" s="2">
        <f aca="true" t="shared" si="25" ref="H145:H151">G145*F145</f>
        <v>7200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.75">
      <c r="A146" s="8"/>
      <c r="B146" s="2"/>
      <c r="C146" s="2">
        <v>2</v>
      </c>
      <c r="D146" s="2">
        <v>3</v>
      </c>
      <c r="E146" s="2">
        <v>20</v>
      </c>
      <c r="F146" s="2">
        <f t="shared" si="24"/>
        <v>600</v>
      </c>
      <c r="G146" s="2">
        <v>12</v>
      </c>
      <c r="H146" s="2">
        <f t="shared" si="25"/>
        <v>7200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8"/>
      <c r="B147" s="2"/>
      <c r="C147" s="2">
        <v>2</v>
      </c>
      <c r="D147" s="2">
        <v>4</v>
      </c>
      <c r="E147" s="2">
        <v>19</v>
      </c>
      <c r="F147" s="2">
        <f t="shared" si="24"/>
        <v>570</v>
      </c>
      <c r="G147" s="2">
        <v>12</v>
      </c>
      <c r="H147" s="2">
        <f t="shared" si="25"/>
        <v>6840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8"/>
      <c r="B148" s="2"/>
      <c r="C148" s="2">
        <v>2</v>
      </c>
      <c r="D148" s="2">
        <v>5</v>
      </c>
      <c r="E148" s="2">
        <v>18</v>
      </c>
      <c r="F148" s="2">
        <f t="shared" si="24"/>
        <v>540</v>
      </c>
      <c r="G148" s="2">
        <v>12</v>
      </c>
      <c r="H148" s="2">
        <f t="shared" si="25"/>
        <v>6480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75">
      <c r="A149" s="8"/>
      <c r="B149" s="2"/>
      <c r="C149" s="2">
        <v>2</v>
      </c>
      <c r="D149" s="2">
        <v>6</v>
      </c>
      <c r="E149" s="2">
        <v>17</v>
      </c>
      <c r="F149" s="2">
        <f t="shared" si="24"/>
        <v>510</v>
      </c>
      <c r="G149" s="2">
        <v>12</v>
      </c>
      <c r="H149" s="2">
        <f t="shared" si="25"/>
        <v>6120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2.75">
      <c r="A150" s="8"/>
      <c r="B150" s="2"/>
      <c r="C150" s="2">
        <v>1</v>
      </c>
      <c r="D150" s="2" t="s">
        <v>108</v>
      </c>
      <c r="E150" s="2">
        <v>8</v>
      </c>
      <c r="F150" s="2">
        <f t="shared" si="24"/>
        <v>240</v>
      </c>
      <c r="G150" s="2">
        <v>12</v>
      </c>
      <c r="H150" s="2">
        <f t="shared" si="25"/>
        <v>2880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.75">
      <c r="A151" s="8"/>
      <c r="B151" s="2"/>
      <c r="C151" s="2">
        <v>1</v>
      </c>
      <c r="D151" s="2" t="s">
        <v>105</v>
      </c>
      <c r="E151" s="2"/>
      <c r="F151" s="2">
        <f t="shared" si="24"/>
        <v>0</v>
      </c>
      <c r="G151" s="2">
        <v>24</v>
      </c>
      <c r="H151" s="2">
        <f t="shared" si="25"/>
        <v>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>
      <c r="A152" s="8"/>
      <c r="B152" s="332" t="s">
        <v>99</v>
      </c>
      <c r="C152" s="333"/>
      <c r="D152" s="4"/>
      <c r="E152" s="4"/>
      <c r="F152" s="4"/>
      <c r="G152" s="4">
        <f>SUM(G144:G151)</f>
        <v>108</v>
      </c>
      <c r="H152" s="4">
        <f>SUM(H144:H151)</f>
        <v>41760</v>
      </c>
      <c r="I152" s="4">
        <v>17</v>
      </c>
      <c r="J152" s="4">
        <f>I152*H152/1000</f>
        <v>709.92</v>
      </c>
      <c r="K152" s="4">
        <v>10</v>
      </c>
      <c r="L152" s="4">
        <v>2000</v>
      </c>
      <c r="M152" s="4">
        <f>L152*K152/1000</f>
        <v>20</v>
      </c>
      <c r="N152" s="4"/>
      <c r="O152" s="4"/>
      <c r="P152" s="4"/>
      <c r="Q152" s="4"/>
      <c r="R152" s="4">
        <f>J152+M152+Q152</f>
        <v>729.92</v>
      </c>
    </row>
    <row r="153" spans="1:18" ht="12.75">
      <c r="A153" s="8"/>
      <c r="B153" s="2">
        <v>2</v>
      </c>
      <c r="C153" s="2">
        <v>2</v>
      </c>
      <c r="D153" s="2">
        <v>1</v>
      </c>
      <c r="E153" s="2">
        <v>14</v>
      </c>
      <c r="F153" s="2">
        <f>E153*30</f>
        <v>420</v>
      </c>
      <c r="G153" s="2">
        <v>12</v>
      </c>
      <c r="H153" s="2">
        <f>G153*F153</f>
        <v>5040</v>
      </c>
      <c r="I153" s="2"/>
      <c r="J153" s="2"/>
      <c r="K153" s="2"/>
      <c r="L153" s="2"/>
      <c r="M153" s="2"/>
      <c r="N153" s="2"/>
      <c r="O153" s="2"/>
      <c r="P153" s="2"/>
      <c r="Q153" s="2"/>
      <c r="R153" s="3"/>
    </row>
    <row r="154" spans="1:18" ht="12.75">
      <c r="A154" s="8"/>
      <c r="B154" s="2"/>
      <c r="C154" s="2">
        <v>2</v>
      </c>
      <c r="D154" s="2">
        <v>2</v>
      </c>
      <c r="E154" s="2">
        <v>20</v>
      </c>
      <c r="F154" s="2">
        <f aca="true" t="shared" si="26" ref="F154:F160">E154*30</f>
        <v>600</v>
      </c>
      <c r="G154" s="2">
        <v>12</v>
      </c>
      <c r="H154" s="2">
        <f aca="true" t="shared" si="27" ref="H154:H160">G154*F154</f>
        <v>7200</v>
      </c>
      <c r="I154" s="2"/>
      <c r="J154" s="2"/>
      <c r="K154" s="2"/>
      <c r="L154" s="2"/>
      <c r="M154" s="2"/>
      <c r="N154" s="2"/>
      <c r="O154" s="2"/>
      <c r="P154" s="2"/>
      <c r="Q154" s="2"/>
      <c r="R154" s="3"/>
    </row>
    <row r="155" spans="1:18" ht="12.75">
      <c r="A155" s="8"/>
      <c r="B155" s="2"/>
      <c r="C155" s="2">
        <v>2</v>
      </c>
      <c r="D155" s="2">
        <v>3</v>
      </c>
      <c r="E155" s="2">
        <v>20</v>
      </c>
      <c r="F155" s="2">
        <f t="shared" si="26"/>
        <v>600</v>
      </c>
      <c r="G155" s="2">
        <v>12</v>
      </c>
      <c r="H155" s="2">
        <f t="shared" si="27"/>
        <v>7200</v>
      </c>
      <c r="I155" s="2"/>
      <c r="J155" s="2"/>
      <c r="K155" s="2"/>
      <c r="L155" s="2"/>
      <c r="M155" s="2"/>
      <c r="N155" s="2"/>
      <c r="O155" s="2"/>
      <c r="P155" s="2"/>
      <c r="Q155" s="2"/>
      <c r="R155" s="3"/>
    </row>
    <row r="156" spans="1:18" ht="12.75">
      <c r="A156" s="8"/>
      <c r="B156" s="2"/>
      <c r="C156" s="2">
        <v>2</v>
      </c>
      <c r="D156" s="2">
        <v>4</v>
      </c>
      <c r="E156" s="2">
        <v>19</v>
      </c>
      <c r="F156" s="2">
        <f t="shared" si="26"/>
        <v>570</v>
      </c>
      <c r="G156" s="2">
        <v>12</v>
      </c>
      <c r="H156" s="2">
        <f t="shared" si="27"/>
        <v>6840</v>
      </c>
      <c r="I156" s="2"/>
      <c r="J156" s="2"/>
      <c r="K156" s="2"/>
      <c r="L156" s="2"/>
      <c r="M156" s="2"/>
      <c r="N156" s="2"/>
      <c r="O156" s="2"/>
      <c r="P156" s="2"/>
      <c r="Q156" s="2"/>
      <c r="R156" s="3"/>
    </row>
    <row r="157" spans="1:18" ht="12.75">
      <c r="A157" s="8"/>
      <c r="B157" s="2"/>
      <c r="C157" s="2">
        <v>2</v>
      </c>
      <c r="D157" s="2">
        <v>5</v>
      </c>
      <c r="E157" s="2">
        <v>18</v>
      </c>
      <c r="F157" s="2">
        <f t="shared" si="26"/>
        <v>540</v>
      </c>
      <c r="G157" s="2">
        <v>12</v>
      </c>
      <c r="H157" s="2">
        <f t="shared" si="27"/>
        <v>6480</v>
      </c>
      <c r="I157" s="2"/>
      <c r="J157" s="2"/>
      <c r="K157" s="2"/>
      <c r="L157" s="2"/>
      <c r="M157" s="2"/>
      <c r="N157" s="2"/>
      <c r="O157" s="2"/>
      <c r="P157" s="2"/>
      <c r="Q157" s="2"/>
      <c r="R157" s="3"/>
    </row>
    <row r="158" spans="1:18" ht="12.75">
      <c r="A158" s="8"/>
      <c r="B158" s="2"/>
      <c r="C158" s="2">
        <v>2</v>
      </c>
      <c r="D158" s="2">
        <v>6</v>
      </c>
      <c r="E158" s="2">
        <v>17</v>
      </c>
      <c r="F158" s="2">
        <f t="shared" si="26"/>
        <v>510</v>
      </c>
      <c r="G158" s="2">
        <v>12</v>
      </c>
      <c r="H158" s="2">
        <f t="shared" si="27"/>
        <v>6120</v>
      </c>
      <c r="I158" s="2"/>
      <c r="J158" s="2"/>
      <c r="K158" s="2"/>
      <c r="L158" s="2"/>
      <c r="M158" s="2"/>
      <c r="N158" s="2"/>
      <c r="O158" s="2"/>
      <c r="P158" s="2"/>
      <c r="Q158" s="2"/>
      <c r="R158" s="3"/>
    </row>
    <row r="159" spans="1:18" ht="12.75">
      <c r="A159" s="8"/>
      <c r="B159" s="2"/>
      <c r="C159" s="2">
        <v>2</v>
      </c>
      <c r="D159" s="2">
        <v>7</v>
      </c>
      <c r="E159" s="2">
        <v>16</v>
      </c>
      <c r="F159" s="2">
        <f t="shared" si="26"/>
        <v>480</v>
      </c>
      <c r="G159" s="2">
        <v>12</v>
      </c>
      <c r="H159" s="2">
        <f t="shared" si="27"/>
        <v>5760</v>
      </c>
      <c r="I159" s="2"/>
      <c r="J159" s="2"/>
      <c r="K159" s="2"/>
      <c r="L159" s="2"/>
      <c r="M159" s="2"/>
      <c r="N159" s="2"/>
      <c r="O159" s="2"/>
      <c r="P159" s="2"/>
      <c r="Q159" s="2"/>
      <c r="R159" s="3"/>
    </row>
    <row r="160" spans="1:18" ht="12.75">
      <c r="A160" s="8"/>
      <c r="B160" s="2"/>
      <c r="C160" s="2">
        <v>1</v>
      </c>
      <c r="D160" s="2" t="s">
        <v>105</v>
      </c>
      <c r="E160" s="2"/>
      <c r="F160" s="2">
        <f t="shared" si="26"/>
        <v>0</v>
      </c>
      <c r="G160" s="2">
        <v>24</v>
      </c>
      <c r="H160" s="2">
        <f t="shared" si="27"/>
        <v>0</v>
      </c>
      <c r="I160" s="2"/>
      <c r="J160" s="2"/>
      <c r="K160" s="2"/>
      <c r="L160" s="2"/>
      <c r="M160" s="2"/>
      <c r="N160" s="2"/>
      <c r="O160" s="2"/>
      <c r="P160" s="2"/>
      <c r="Q160" s="2"/>
      <c r="R160" s="3"/>
    </row>
    <row r="161" spans="1:18" ht="12.75">
      <c r="A161" s="8"/>
      <c r="B161" s="332" t="s">
        <v>100</v>
      </c>
      <c r="C161" s="333"/>
      <c r="D161" s="4"/>
      <c r="E161" s="4"/>
      <c r="F161" s="4"/>
      <c r="G161" s="4">
        <f>SUM(G153:G160)</f>
        <v>108</v>
      </c>
      <c r="H161" s="4">
        <f>SUM(H153:H160)</f>
        <v>44640</v>
      </c>
      <c r="I161" s="4">
        <v>17</v>
      </c>
      <c r="J161" s="4">
        <f>I161*H161/1000</f>
        <v>758.88</v>
      </c>
      <c r="K161" s="4">
        <v>10</v>
      </c>
      <c r="L161" s="4">
        <v>2000</v>
      </c>
      <c r="M161" s="4">
        <f>L161*K161/1000</f>
        <v>20</v>
      </c>
      <c r="N161" s="4"/>
      <c r="O161" s="4"/>
      <c r="P161" s="4"/>
      <c r="Q161" s="4"/>
      <c r="R161" s="4">
        <f>J161+M161+Q161</f>
        <v>778.88</v>
      </c>
    </row>
    <row r="162" spans="1:18" ht="12.75">
      <c r="A162" s="8"/>
      <c r="B162" s="2">
        <v>3</v>
      </c>
      <c r="C162" s="2">
        <v>2</v>
      </c>
      <c r="D162" s="2">
        <v>1</v>
      </c>
      <c r="E162" s="2">
        <v>14</v>
      </c>
      <c r="F162" s="2">
        <f>E162*30</f>
        <v>420</v>
      </c>
      <c r="G162" s="2">
        <v>12</v>
      </c>
      <c r="H162" s="2">
        <f>G162*F162</f>
        <v>5040</v>
      </c>
      <c r="I162" s="2"/>
      <c r="J162" s="2"/>
      <c r="K162" s="2"/>
      <c r="L162" s="2"/>
      <c r="M162" s="2"/>
      <c r="N162" s="2"/>
      <c r="O162" s="2"/>
      <c r="P162" s="2"/>
      <c r="Q162" s="2"/>
      <c r="R162" s="3"/>
    </row>
    <row r="163" spans="1:18" ht="12.75">
      <c r="A163" s="8"/>
      <c r="B163" s="2"/>
      <c r="C163" s="2">
        <v>2</v>
      </c>
      <c r="D163" s="2">
        <v>2</v>
      </c>
      <c r="E163" s="2">
        <v>20</v>
      </c>
      <c r="F163" s="2">
        <f aca="true" t="shared" si="28" ref="F163:F170">E163*30</f>
        <v>600</v>
      </c>
      <c r="G163" s="2">
        <v>12</v>
      </c>
      <c r="H163" s="2">
        <f aca="true" t="shared" si="29" ref="H163:H170">G163*F163</f>
        <v>7200</v>
      </c>
      <c r="I163" s="2"/>
      <c r="J163" s="2"/>
      <c r="K163" s="2"/>
      <c r="L163" s="2"/>
      <c r="M163" s="2"/>
      <c r="N163" s="2"/>
      <c r="O163" s="2"/>
      <c r="P163" s="2"/>
      <c r="Q163" s="2"/>
      <c r="R163" s="3"/>
    </row>
    <row r="164" spans="1:18" ht="12.75">
      <c r="A164" s="8"/>
      <c r="B164" s="2"/>
      <c r="C164" s="2">
        <v>2</v>
      </c>
      <c r="D164" s="2">
        <v>3</v>
      </c>
      <c r="E164" s="2">
        <v>20</v>
      </c>
      <c r="F164" s="2">
        <f t="shared" si="28"/>
        <v>600</v>
      </c>
      <c r="G164" s="2">
        <v>12</v>
      </c>
      <c r="H164" s="2">
        <f t="shared" si="29"/>
        <v>7200</v>
      </c>
      <c r="I164" s="2"/>
      <c r="J164" s="2"/>
      <c r="K164" s="2"/>
      <c r="L164" s="2"/>
      <c r="M164" s="2"/>
      <c r="N164" s="2"/>
      <c r="O164" s="2"/>
      <c r="P164" s="2"/>
      <c r="Q164" s="2"/>
      <c r="R164" s="3"/>
    </row>
    <row r="165" spans="1:18" ht="12.75">
      <c r="A165" s="8"/>
      <c r="B165" s="2"/>
      <c r="C165" s="2">
        <v>2</v>
      </c>
      <c r="D165" s="2">
        <v>4</v>
      </c>
      <c r="E165" s="2">
        <v>19</v>
      </c>
      <c r="F165" s="2">
        <f t="shared" si="28"/>
        <v>570</v>
      </c>
      <c r="G165" s="2">
        <v>12</v>
      </c>
      <c r="H165" s="2">
        <f t="shared" si="29"/>
        <v>6840</v>
      </c>
      <c r="I165" s="2"/>
      <c r="J165" s="2"/>
      <c r="K165" s="2"/>
      <c r="L165" s="2"/>
      <c r="M165" s="2"/>
      <c r="N165" s="2"/>
      <c r="O165" s="2"/>
      <c r="P165" s="2"/>
      <c r="Q165" s="2"/>
      <c r="R165" s="3"/>
    </row>
    <row r="166" spans="1:18" ht="12.75">
      <c r="A166" s="8"/>
      <c r="B166" s="2"/>
      <c r="C166" s="2">
        <v>2</v>
      </c>
      <c r="D166" s="2">
        <v>5</v>
      </c>
      <c r="E166" s="2">
        <v>18</v>
      </c>
      <c r="F166" s="2">
        <f t="shared" si="28"/>
        <v>540</v>
      </c>
      <c r="G166" s="2">
        <v>12</v>
      </c>
      <c r="H166" s="2">
        <f t="shared" si="29"/>
        <v>6480</v>
      </c>
      <c r="I166" s="2"/>
      <c r="J166" s="2"/>
      <c r="K166" s="2"/>
      <c r="L166" s="2"/>
      <c r="M166" s="2"/>
      <c r="N166" s="2"/>
      <c r="O166" s="2"/>
      <c r="P166" s="2"/>
      <c r="Q166" s="2"/>
      <c r="R166" s="3"/>
    </row>
    <row r="167" spans="1:18" ht="12.75">
      <c r="A167" s="8"/>
      <c r="B167" s="2"/>
      <c r="C167" s="2">
        <v>2</v>
      </c>
      <c r="D167" s="2">
        <v>6</v>
      </c>
      <c r="E167" s="2">
        <v>17</v>
      </c>
      <c r="F167" s="2">
        <f t="shared" si="28"/>
        <v>510</v>
      </c>
      <c r="G167" s="2">
        <v>12</v>
      </c>
      <c r="H167" s="2">
        <f t="shared" si="29"/>
        <v>6120</v>
      </c>
      <c r="I167" s="2"/>
      <c r="J167" s="2"/>
      <c r="K167" s="2"/>
      <c r="L167" s="2"/>
      <c r="M167" s="2"/>
      <c r="N167" s="2"/>
      <c r="O167" s="2"/>
      <c r="P167" s="2"/>
      <c r="Q167" s="2"/>
      <c r="R167" s="3"/>
    </row>
    <row r="168" spans="1:18" ht="12.75">
      <c r="A168" s="8"/>
      <c r="B168" s="2"/>
      <c r="C168" s="2">
        <v>2</v>
      </c>
      <c r="D168" s="2">
        <v>7</v>
      </c>
      <c r="E168" s="2">
        <v>16</v>
      </c>
      <c r="F168" s="2">
        <f t="shared" si="28"/>
        <v>480</v>
      </c>
      <c r="G168" s="2">
        <v>12</v>
      </c>
      <c r="H168" s="2">
        <f t="shared" si="29"/>
        <v>5760</v>
      </c>
      <c r="I168" s="2"/>
      <c r="J168" s="2"/>
      <c r="K168" s="2"/>
      <c r="L168" s="2"/>
      <c r="M168" s="2"/>
      <c r="N168" s="2"/>
      <c r="O168" s="2"/>
      <c r="P168" s="2"/>
      <c r="Q168" s="2"/>
      <c r="R168" s="3"/>
    </row>
    <row r="169" spans="1:18" ht="12.75">
      <c r="A169" s="8"/>
      <c r="B169" s="2"/>
      <c r="C169" s="2">
        <v>2</v>
      </c>
      <c r="D169" s="2">
        <v>8</v>
      </c>
      <c r="E169" s="2">
        <v>14</v>
      </c>
      <c r="F169" s="2">
        <f t="shared" si="28"/>
        <v>420</v>
      </c>
      <c r="G169" s="2">
        <v>12</v>
      </c>
      <c r="H169" s="2">
        <f t="shared" si="29"/>
        <v>5040</v>
      </c>
      <c r="I169" s="2"/>
      <c r="J169" s="2"/>
      <c r="K169" s="2"/>
      <c r="L169" s="2"/>
      <c r="M169" s="2"/>
      <c r="N169" s="2"/>
      <c r="O169" s="2"/>
      <c r="P169" s="2"/>
      <c r="Q169" s="2"/>
      <c r="R169" s="3"/>
    </row>
    <row r="170" spans="1:18" ht="12.75">
      <c r="A170" s="8"/>
      <c r="B170" s="2"/>
      <c r="C170" s="2">
        <v>1</v>
      </c>
      <c r="D170" s="2" t="s">
        <v>105</v>
      </c>
      <c r="E170" s="2"/>
      <c r="F170" s="2">
        <f t="shared" si="28"/>
        <v>0</v>
      </c>
      <c r="G170" s="2">
        <v>12</v>
      </c>
      <c r="H170" s="2">
        <f t="shared" si="29"/>
        <v>0</v>
      </c>
      <c r="I170" s="2"/>
      <c r="J170" s="2"/>
      <c r="K170" s="2"/>
      <c r="L170" s="2"/>
      <c r="M170" s="2"/>
      <c r="N170" s="2"/>
      <c r="O170" s="2"/>
      <c r="P170" s="2"/>
      <c r="Q170" s="2"/>
      <c r="R170" s="3"/>
    </row>
    <row r="171" spans="1:18" ht="12.75">
      <c r="A171" s="8"/>
      <c r="B171" s="332" t="s">
        <v>101</v>
      </c>
      <c r="C171" s="333"/>
      <c r="D171" s="4"/>
      <c r="E171" s="4"/>
      <c r="F171" s="4"/>
      <c r="G171" s="4">
        <f>SUM(G162:G170)</f>
        <v>108</v>
      </c>
      <c r="H171" s="4">
        <f>SUM(H162:H170)</f>
        <v>49680</v>
      </c>
      <c r="I171" s="4">
        <v>17</v>
      </c>
      <c r="J171" s="4">
        <f>I171*H171/1000</f>
        <v>844.56</v>
      </c>
      <c r="K171" s="4">
        <v>10</v>
      </c>
      <c r="L171" s="4">
        <v>2000</v>
      </c>
      <c r="M171" s="4">
        <f>L171*K171/1000</f>
        <v>20</v>
      </c>
      <c r="N171" s="4"/>
      <c r="O171" s="4"/>
      <c r="P171" s="4"/>
      <c r="Q171" s="4"/>
      <c r="R171" s="4">
        <f>J171+M171+Q171</f>
        <v>864.56</v>
      </c>
    </row>
    <row r="172" spans="1:18" ht="12.75">
      <c r="A172" s="8"/>
      <c r="B172" s="2">
        <v>4</v>
      </c>
      <c r="C172" s="2">
        <v>2</v>
      </c>
      <c r="D172" s="2">
        <v>1</v>
      </c>
      <c r="E172" s="2">
        <v>14</v>
      </c>
      <c r="F172" s="2">
        <f>E172*30</f>
        <v>420</v>
      </c>
      <c r="G172" s="2">
        <v>12</v>
      </c>
      <c r="H172" s="2">
        <f>G172*F172</f>
        <v>5040</v>
      </c>
      <c r="I172" s="2"/>
      <c r="J172" s="2"/>
      <c r="K172" s="2"/>
      <c r="L172" s="2"/>
      <c r="M172" s="2"/>
      <c r="N172" s="2"/>
      <c r="O172" s="2"/>
      <c r="P172" s="2"/>
      <c r="Q172" s="2"/>
      <c r="R172" s="3"/>
    </row>
    <row r="173" spans="1:18" ht="12.75">
      <c r="A173" s="8"/>
      <c r="B173" s="2"/>
      <c r="C173" s="2">
        <v>2</v>
      </c>
      <c r="D173" s="2">
        <v>2</v>
      </c>
      <c r="E173" s="2">
        <v>20</v>
      </c>
      <c r="F173" s="2">
        <f aca="true" t="shared" si="30" ref="F173:F181">E173*30</f>
        <v>600</v>
      </c>
      <c r="G173" s="2">
        <v>12</v>
      </c>
      <c r="H173" s="2">
        <f aca="true" t="shared" si="31" ref="H173:H181">G173*F173</f>
        <v>7200</v>
      </c>
      <c r="I173" s="2"/>
      <c r="J173" s="2"/>
      <c r="K173" s="2"/>
      <c r="L173" s="2"/>
      <c r="M173" s="2"/>
      <c r="N173" s="2"/>
      <c r="O173" s="2"/>
      <c r="P173" s="2"/>
      <c r="Q173" s="2"/>
      <c r="R173" s="3"/>
    </row>
    <row r="174" spans="1:18" ht="12.75">
      <c r="A174" s="8"/>
      <c r="B174" s="2"/>
      <c r="C174" s="2">
        <v>2</v>
      </c>
      <c r="D174" s="2">
        <v>3</v>
      </c>
      <c r="E174" s="2">
        <v>20</v>
      </c>
      <c r="F174" s="2">
        <f t="shared" si="30"/>
        <v>600</v>
      </c>
      <c r="G174" s="2">
        <v>12</v>
      </c>
      <c r="H174" s="2">
        <f t="shared" si="31"/>
        <v>7200</v>
      </c>
      <c r="I174" s="2"/>
      <c r="J174" s="2"/>
      <c r="K174" s="2"/>
      <c r="L174" s="2"/>
      <c r="M174" s="2"/>
      <c r="N174" s="2"/>
      <c r="O174" s="2"/>
      <c r="P174" s="2"/>
      <c r="Q174" s="2"/>
      <c r="R174" s="3"/>
    </row>
    <row r="175" spans="1:18" ht="12.75">
      <c r="A175" s="8"/>
      <c r="B175" s="2"/>
      <c r="C175" s="2">
        <v>2</v>
      </c>
      <c r="D175" s="2">
        <v>4</v>
      </c>
      <c r="E175" s="2">
        <v>19</v>
      </c>
      <c r="F175" s="2">
        <f t="shared" si="30"/>
        <v>570</v>
      </c>
      <c r="G175" s="2">
        <v>12</v>
      </c>
      <c r="H175" s="2">
        <f t="shared" si="31"/>
        <v>6840</v>
      </c>
      <c r="I175" s="2"/>
      <c r="J175" s="2"/>
      <c r="K175" s="2"/>
      <c r="L175" s="2"/>
      <c r="M175" s="2"/>
      <c r="N175" s="2"/>
      <c r="O175" s="2"/>
      <c r="P175" s="2"/>
      <c r="Q175" s="2"/>
      <c r="R175" s="3"/>
    </row>
    <row r="176" spans="1:18" ht="12.75">
      <c r="A176" s="8"/>
      <c r="B176" s="2"/>
      <c r="C176" s="2">
        <v>2</v>
      </c>
      <c r="D176" s="2">
        <v>5</v>
      </c>
      <c r="E176" s="2">
        <v>18</v>
      </c>
      <c r="F176" s="2">
        <f t="shared" si="30"/>
        <v>540</v>
      </c>
      <c r="G176" s="2">
        <v>12</v>
      </c>
      <c r="H176" s="2">
        <f t="shared" si="31"/>
        <v>6480</v>
      </c>
      <c r="I176" s="2"/>
      <c r="J176" s="2"/>
      <c r="K176" s="2"/>
      <c r="L176" s="2"/>
      <c r="M176" s="2"/>
      <c r="N176" s="2"/>
      <c r="O176" s="2"/>
      <c r="P176" s="2"/>
      <c r="Q176" s="2"/>
      <c r="R176" s="3"/>
    </row>
    <row r="177" spans="1:18" ht="12.75">
      <c r="A177" s="8"/>
      <c r="B177" s="2"/>
      <c r="C177" s="2">
        <v>2</v>
      </c>
      <c r="D177" s="2">
        <v>6</v>
      </c>
      <c r="E177" s="2">
        <v>17</v>
      </c>
      <c r="F177" s="2">
        <f t="shared" si="30"/>
        <v>510</v>
      </c>
      <c r="G177" s="2">
        <v>12</v>
      </c>
      <c r="H177" s="2">
        <f t="shared" si="31"/>
        <v>6120</v>
      </c>
      <c r="I177" s="2"/>
      <c r="J177" s="2"/>
      <c r="K177" s="2"/>
      <c r="L177" s="2"/>
      <c r="M177" s="2"/>
      <c r="N177" s="2"/>
      <c r="O177" s="2"/>
      <c r="P177" s="2"/>
      <c r="Q177" s="2"/>
      <c r="R177" s="3"/>
    </row>
    <row r="178" spans="1:18" ht="12.75">
      <c r="A178" s="8"/>
      <c r="B178" s="2"/>
      <c r="C178" s="2">
        <v>2</v>
      </c>
      <c r="D178" s="2">
        <v>7</v>
      </c>
      <c r="E178" s="2">
        <v>16</v>
      </c>
      <c r="F178" s="2">
        <f t="shared" si="30"/>
        <v>480</v>
      </c>
      <c r="G178" s="2">
        <v>12</v>
      </c>
      <c r="H178" s="2">
        <f t="shared" si="31"/>
        <v>5760</v>
      </c>
      <c r="I178" s="2"/>
      <c r="J178" s="2"/>
      <c r="K178" s="2"/>
      <c r="L178" s="2"/>
      <c r="M178" s="2"/>
      <c r="N178" s="2"/>
      <c r="O178" s="2"/>
      <c r="P178" s="2"/>
      <c r="Q178" s="2"/>
      <c r="R178" s="3"/>
    </row>
    <row r="179" spans="1:18" ht="12.75">
      <c r="A179" s="8"/>
      <c r="B179" s="2"/>
      <c r="C179" s="2">
        <v>2</v>
      </c>
      <c r="D179" s="2">
        <v>8</v>
      </c>
      <c r="E179" s="2">
        <v>14</v>
      </c>
      <c r="F179" s="2">
        <f t="shared" si="30"/>
        <v>420</v>
      </c>
      <c r="G179" s="2">
        <v>12</v>
      </c>
      <c r="H179" s="2">
        <f t="shared" si="31"/>
        <v>5040</v>
      </c>
      <c r="I179" s="2"/>
      <c r="J179" s="2"/>
      <c r="K179" s="2"/>
      <c r="L179" s="2"/>
      <c r="M179" s="2"/>
      <c r="N179" s="2"/>
      <c r="O179" s="2"/>
      <c r="P179" s="2"/>
      <c r="Q179" s="2"/>
      <c r="R179" s="3"/>
    </row>
    <row r="180" spans="1:18" ht="12.75">
      <c r="A180" s="8"/>
      <c r="B180" s="2"/>
      <c r="C180" s="2">
        <v>2</v>
      </c>
      <c r="D180" s="2">
        <v>9</v>
      </c>
      <c r="E180" s="2">
        <v>13</v>
      </c>
      <c r="F180" s="2">
        <f t="shared" si="30"/>
        <v>390</v>
      </c>
      <c r="G180" s="2">
        <v>12</v>
      </c>
      <c r="H180" s="2">
        <f t="shared" si="31"/>
        <v>4680</v>
      </c>
      <c r="I180" s="2"/>
      <c r="J180" s="2"/>
      <c r="K180" s="2"/>
      <c r="L180" s="2"/>
      <c r="M180" s="2"/>
      <c r="N180" s="2"/>
      <c r="O180" s="2"/>
      <c r="P180" s="2"/>
      <c r="Q180" s="2"/>
      <c r="R180" s="3"/>
    </row>
    <row r="181" spans="1:18" ht="12.75">
      <c r="A181" s="8"/>
      <c r="B181" s="2"/>
      <c r="C181" s="2">
        <v>1</v>
      </c>
      <c r="D181" s="2" t="s">
        <v>105</v>
      </c>
      <c r="E181" s="2"/>
      <c r="F181" s="2">
        <f t="shared" si="30"/>
        <v>0</v>
      </c>
      <c r="G181" s="2">
        <v>0</v>
      </c>
      <c r="H181" s="2">
        <f t="shared" si="31"/>
        <v>0</v>
      </c>
      <c r="I181" s="2"/>
      <c r="J181" s="2"/>
      <c r="K181" s="2"/>
      <c r="L181" s="2"/>
      <c r="M181" s="2"/>
      <c r="N181" s="2"/>
      <c r="O181" s="2"/>
      <c r="P181" s="2"/>
      <c r="Q181" s="2"/>
      <c r="R181" s="3"/>
    </row>
    <row r="182" spans="1:18" ht="12.75">
      <c r="A182" s="8"/>
      <c r="B182" s="332" t="s">
        <v>102</v>
      </c>
      <c r="C182" s="333"/>
      <c r="D182" s="4"/>
      <c r="E182" s="4"/>
      <c r="F182" s="4"/>
      <c r="G182" s="4">
        <f>SUM(G172:G181)</f>
        <v>108</v>
      </c>
      <c r="H182" s="4">
        <f>SUM(H172:H181)</f>
        <v>54360</v>
      </c>
      <c r="I182" s="4">
        <v>17</v>
      </c>
      <c r="J182" s="4">
        <f>I182*H182/1000</f>
        <v>924.12</v>
      </c>
      <c r="K182" s="4">
        <v>10</v>
      </c>
      <c r="L182" s="4">
        <v>2000</v>
      </c>
      <c r="M182" s="4">
        <f>L182*K182/1000</f>
        <v>20</v>
      </c>
      <c r="N182" s="4"/>
      <c r="O182" s="4"/>
      <c r="P182" s="4"/>
      <c r="Q182" s="4"/>
      <c r="R182" s="4">
        <f>J182+M182+Q182</f>
        <v>944.12</v>
      </c>
    </row>
    <row r="183" spans="1:18" ht="12.75">
      <c r="A183" s="8"/>
      <c r="B183" s="2">
        <v>5</v>
      </c>
      <c r="C183" s="2">
        <v>2</v>
      </c>
      <c r="D183" s="2">
        <v>1</v>
      </c>
      <c r="E183" s="2">
        <v>14</v>
      </c>
      <c r="F183" s="2">
        <f>E183*30</f>
        <v>420</v>
      </c>
      <c r="G183" s="2">
        <v>0</v>
      </c>
      <c r="H183" s="2">
        <f>G183*F183</f>
        <v>0</v>
      </c>
      <c r="I183" s="2"/>
      <c r="J183" s="2"/>
      <c r="K183" s="2"/>
      <c r="L183" s="2"/>
      <c r="M183" s="2"/>
      <c r="N183" s="2"/>
      <c r="O183" s="2"/>
      <c r="P183" s="2"/>
      <c r="Q183" s="2"/>
      <c r="R183" s="3"/>
    </row>
    <row r="184" spans="1:18" ht="12.75">
      <c r="A184" s="8"/>
      <c r="B184" s="2"/>
      <c r="C184" s="2">
        <v>2</v>
      </c>
      <c r="D184" s="2">
        <v>2</v>
      </c>
      <c r="E184" s="2">
        <v>20</v>
      </c>
      <c r="F184" s="2">
        <f aca="true" t="shared" si="32" ref="F184:F193">E184*30</f>
        <v>600</v>
      </c>
      <c r="G184" s="2">
        <v>12</v>
      </c>
      <c r="H184" s="2">
        <f aca="true" t="shared" si="33" ref="H184:H193">G184*F184</f>
        <v>7200</v>
      </c>
      <c r="I184" s="2"/>
      <c r="J184" s="2"/>
      <c r="K184" s="2"/>
      <c r="L184" s="2"/>
      <c r="M184" s="2"/>
      <c r="N184" s="2"/>
      <c r="O184" s="2"/>
      <c r="P184" s="2"/>
      <c r="Q184" s="2"/>
      <c r="R184" s="3"/>
    </row>
    <row r="185" spans="1:18" ht="12.75">
      <c r="A185" s="8"/>
      <c r="B185" s="2"/>
      <c r="C185" s="2">
        <v>2</v>
      </c>
      <c r="D185" s="2">
        <v>3</v>
      </c>
      <c r="E185" s="2">
        <v>20</v>
      </c>
      <c r="F185" s="2">
        <f t="shared" si="32"/>
        <v>600</v>
      </c>
      <c r="G185" s="2">
        <v>12</v>
      </c>
      <c r="H185" s="2">
        <f t="shared" si="33"/>
        <v>7200</v>
      </c>
      <c r="I185" s="2"/>
      <c r="J185" s="2"/>
      <c r="K185" s="2"/>
      <c r="L185" s="2"/>
      <c r="M185" s="2"/>
      <c r="N185" s="2"/>
      <c r="O185" s="2"/>
      <c r="P185" s="2"/>
      <c r="Q185" s="2"/>
      <c r="R185" s="3"/>
    </row>
    <row r="186" spans="1:18" ht="12.75">
      <c r="A186" s="8"/>
      <c r="B186" s="2"/>
      <c r="C186" s="2">
        <v>2</v>
      </c>
      <c r="D186" s="2">
        <v>4</v>
      </c>
      <c r="E186" s="2">
        <v>19</v>
      </c>
      <c r="F186" s="2">
        <f t="shared" si="32"/>
        <v>570</v>
      </c>
      <c r="G186" s="2">
        <v>12</v>
      </c>
      <c r="H186" s="2">
        <f t="shared" si="33"/>
        <v>6840</v>
      </c>
      <c r="I186" s="2"/>
      <c r="J186" s="2"/>
      <c r="K186" s="2"/>
      <c r="L186" s="2"/>
      <c r="M186" s="2"/>
      <c r="N186" s="2"/>
      <c r="O186" s="2"/>
      <c r="P186" s="2"/>
      <c r="Q186" s="2"/>
      <c r="R186" s="3"/>
    </row>
    <row r="187" spans="1:18" ht="12.75">
      <c r="A187" s="8"/>
      <c r="B187" s="2"/>
      <c r="C187" s="2">
        <v>2</v>
      </c>
      <c r="D187" s="2">
        <v>5</v>
      </c>
      <c r="E187" s="2">
        <v>18</v>
      </c>
      <c r="F187" s="2">
        <f t="shared" si="32"/>
        <v>540</v>
      </c>
      <c r="G187" s="2">
        <v>12</v>
      </c>
      <c r="H187" s="2">
        <f t="shared" si="33"/>
        <v>6480</v>
      </c>
      <c r="I187" s="2"/>
      <c r="J187" s="2"/>
      <c r="K187" s="2"/>
      <c r="L187" s="2"/>
      <c r="M187" s="2"/>
      <c r="N187" s="2"/>
      <c r="O187" s="2"/>
      <c r="P187" s="2"/>
      <c r="Q187" s="2"/>
      <c r="R187" s="3"/>
    </row>
    <row r="188" spans="1:18" ht="12.75">
      <c r="A188" s="8"/>
      <c r="B188" s="2"/>
      <c r="C188" s="2">
        <v>2</v>
      </c>
      <c r="D188" s="2">
        <v>6</v>
      </c>
      <c r="E188" s="2">
        <v>17</v>
      </c>
      <c r="F188" s="2">
        <f t="shared" si="32"/>
        <v>510</v>
      </c>
      <c r="G188" s="2">
        <v>12</v>
      </c>
      <c r="H188" s="2">
        <f t="shared" si="33"/>
        <v>6120</v>
      </c>
      <c r="I188" s="2"/>
      <c r="J188" s="2"/>
      <c r="K188" s="2"/>
      <c r="L188" s="2"/>
      <c r="M188" s="2"/>
      <c r="N188" s="2"/>
      <c r="O188" s="2"/>
      <c r="P188" s="2"/>
      <c r="Q188" s="2"/>
      <c r="R188" s="3"/>
    </row>
    <row r="189" spans="1:18" ht="12.75">
      <c r="A189" s="8"/>
      <c r="B189" s="2"/>
      <c r="C189" s="2">
        <v>2</v>
      </c>
      <c r="D189" s="2">
        <v>7</v>
      </c>
      <c r="E189" s="2">
        <v>16</v>
      </c>
      <c r="F189" s="2">
        <f t="shared" si="32"/>
        <v>480</v>
      </c>
      <c r="G189" s="2">
        <v>12</v>
      </c>
      <c r="H189" s="2">
        <f t="shared" si="33"/>
        <v>5760</v>
      </c>
      <c r="I189" s="2"/>
      <c r="J189" s="2"/>
      <c r="K189" s="2"/>
      <c r="L189" s="2"/>
      <c r="M189" s="2"/>
      <c r="N189" s="2"/>
      <c r="O189" s="2"/>
      <c r="P189" s="2"/>
      <c r="Q189" s="2"/>
      <c r="R189" s="3"/>
    </row>
    <row r="190" spans="1:18" ht="12.75">
      <c r="A190" s="8"/>
      <c r="B190" s="2"/>
      <c r="C190" s="2">
        <v>2</v>
      </c>
      <c r="D190" s="2">
        <v>8</v>
      </c>
      <c r="E190" s="2">
        <v>14</v>
      </c>
      <c r="F190" s="2">
        <f t="shared" si="32"/>
        <v>420</v>
      </c>
      <c r="G190" s="2">
        <v>12</v>
      </c>
      <c r="H190" s="2">
        <f t="shared" si="33"/>
        <v>5040</v>
      </c>
      <c r="I190" s="2"/>
      <c r="J190" s="2"/>
      <c r="K190" s="2"/>
      <c r="L190" s="2"/>
      <c r="M190" s="2"/>
      <c r="N190" s="2"/>
      <c r="O190" s="2"/>
      <c r="P190" s="2"/>
      <c r="Q190" s="2"/>
      <c r="R190" s="3"/>
    </row>
    <row r="191" spans="1:18" ht="12.75">
      <c r="A191" s="8"/>
      <c r="B191" s="2"/>
      <c r="C191" s="2">
        <v>2</v>
      </c>
      <c r="D191" s="2">
        <v>9</v>
      </c>
      <c r="E191" s="2">
        <v>13</v>
      </c>
      <c r="F191" s="2">
        <f t="shared" si="32"/>
        <v>390</v>
      </c>
      <c r="G191" s="2">
        <v>12</v>
      </c>
      <c r="H191" s="2">
        <f t="shared" si="33"/>
        <v>4680</v>
      </c>
      <c r="I191" s="2"/>
      <c r="J191" s="2"/>
      <c r="K191" s="2"/>
      <c r="L191" s="2"/>
      <c r="M191" s="2"/>
      <c r="N191" s="2"/>
      <c r="O191" s="2"/>
      <c r="P191" s="2"/>
      <c r="Q191" s="2"/>
      <c r="R191" s="3"/>
    </row>
    <row r="192" spans="1:18" ht="12.75">
      <c r="A192" s="8"/>
      <c r="B192" s="2"/>
      <c r="C192" s="2">
        <v>2</v>
      </c>
      <c r="D192" s="2">
        <v>10</v>
      </c>
      <c r="E192" s="2">
        <v>12</v>
      </c>
      <c r="F192" s="2">
        <f t="shared" si="32"/>
        <v>360</v>
      </c>
      <c r="G192" s="2">
        <v>12</v>
      </c>
      <c r="H192" s="2">
        <f t="shared" si="33"/>
        <v>4320</v>
      </c>
      <c r="I192" s="2"/>
      <c r="J192" s="2"/>
      <c r="K192" s="2"/>
      <c r="L192" s="2"/>
      <c r="M192" s="2"/>
      <c r="N192" s="2"/>
      <c r="O192" s="2"/>
      <c r="P192" s="2"/>
      <c r="Q192" s="2"/>
      <c r="R192" s="3"/>
    </row>
    <row r="193" spans="1:18" ht="12.75">
      <c r="A193" s="8"/>
      <c r="B193" s="2"/>
      <c r="C193" s="2">
        <v>1</v>
      </c>
      <c r="D193" s="2" t="s">
        <v>105</v>
      </c>
      <c r="E193" s="2"/>
      <c r="F193" s="2">
        <f t="shared" si="32"/>
        <v>0</v>
      </c>
      <c r="G193" s="2">
        <v>0</v>
      </c>
      <c r="H193" s="2">
        <f t="shared" si="33"/>
        <v>0</v>
      </c>
      <c r="I193" s="2"/>
      <c r="J193" s="2"/>
      <c r="K193" s="2"/>
      <c r="L193" s="2"/>
      <c r="M193" s="2"/>
      <c r="N193" s="2"/>
      <c r="O193" s="2"/>
      <c r="P193" s="2"/>
      <c r="Q193" s="2"/>
      <c r="R193" s="3"/>
    </row>
    <row r="194" spans="1:18" ht="12.75">
      <c r="A194" s="8"/>
      <c r="B194" s="332" t="s">
        <v>103</v>
      </c>
      <c r="C194" s="333"/>
      <c r="D194" s="4"/>
      <c r="E194" s="4"/>
      <c r="F194" s="4"/>
      <c r="G194" s="4">
        <f>SUM(G183:G193)</f>
        <v>108</v>
      </c>
      <c r="H194" s="4">
        <f>SUM(H183:H193)</f>
        <v>53640</v>
      </c>
      <c r="I194" s="4">
        <v>17</v>
      </c>
      <c r="J194" s="4">
        <f>I194*H194/1000</f>
        <v>911.88</v>
      </c>
      <c r="K194" s="4">
        <v>0</v>
      </c>
      <c r="L194" s="4">
        <v>2000</v>
      </c>
      <c r="M194" s="4">
        <f>L194*K194/1000</f>
        <v>0</v>
      </c>
      <c r="N194" s="4"/>
      <c r="O194" s="4"/>
      <c r="P194" s="4"/>
      <c r="Q194" s="4"/>
      <c r="R194" s="4">
        <f>J194+M194+Q194</f>
        <v>911.88</v>
      </c>
    </row>
    <row r="195" spans="1:18" ht="12.75">
      <c r="A195" s="8"/>
      <c r="B195" s="2">
        <v>6</v>
      </c>
      <c r="C195" s="2">
        <v>2</v>
      </c>
      <c r="D195" s="2">
        <v>1</v>
      </c>
      <c r="E195" s="2">
        <v>14</v>
      </c>
      <c r="F195" s="2">
        <f>E195*30</f>
        <v>420</v>
      </c>
      <c r="G195" s="2">
        <v>0</v>
      </c>
      <c r="H195" s="2">
        <f>G195*F195</f>
        <v>0</v>
      </c>
      <c r="I195" s="2"/>
      <c r="J195" s="2"/>
      <c r="K195" s="2"/>
      <c r="L195" s="2"/>
      <c r="M195" s="2"/>
      <c r="N195" s="2"/>
      <c r="O195" s="2"/>
      <c r="P195" s="2"/>
      <c r="Q195" s="2"/>
      <c r="R195" s="3"/>
    </row>
    <row r="196" spans="1:18" ht="12.75">
      <c r="A196" s="8"/>
      <c r="B196" s="2"/>
      <c r="C196" s="2">
        <v>2</v>
      </c>
      <c r="D196" s="2">
        <v>2</v>
      </c>
      <c r="E196" s="2">
        <v>20</v>
      </c>
      <c r="F196" s="2">
        <f aca="true" t="shared" si="34" ref="F196:F205">E196*30</f>
        <v>600</v>
      </c>
      <c r="G196" s="2">
        <v>0</v>
      </c>
      <c r="H196" s="2">
        <f aca="true" t="shared" si="35" ref="H196:H205">G196*F196</f>
        <v>0</v>
      </c>
      <c r="I196" s="2"/>
      <c r="J196" s="2"/>
      <c r="K196" s="2"/>
      <c r="L196" s="2"/>
      <c r="M196" s="2"/>
      <c r="N196" s="2"/>
      <c r="O196" s="2"/>
      <c r="P196" s="2"/>
      <c r="Q196" s="2"/>
      <c r="R196" s="3"/>
    </row>
    <row r="197" spans="1:18" ht="12.75">
      <c r="A197" s="8"/>
      <c r="B197" s="2"/>
      <c r="C197" s="2">
        <v>2</v>
      </c>
      <c r="D197" s="2">
        <v>3</v>
      </c>
      <c r="E197" s="2">
        <v>20</v>
      </c>
      <c r="F197" s="2">
        <f t="shared" si="34"/>
        <v>600</v>
      </c>
      <c r="G197" s="2">
        <v>12</v>
      </c>
      <c r="H197" s="2">
        <f t="shared" si="35"/>
        <v>7200</v>
      </c>
      <c r="I197" s="2"/>
      <c r="J197" s="2"/>
      <c r="K197" s="2"/>
      <c r="L197" s="2"/>
      <c r="M197" s="2"/>
      <c r="N197" s="2"/>
      <c r="O197" s="2"/>
      <c r="P197" s="2"/>
      <c r="Q197" s="2"/>
      <c r="R197" s="3"/>
    </row>
    <row r="198" spans="1:18" ht="12.75">
      <c r="A198" s="8"/>
      <c r="B198" s="2"/>
      <c r="C198" s="2">
        <v>2</v>
      </c>
      <c r="D198" s="2">
        <v>4</v>
      </c>
      <c r="E198" s="2">
        <v>19</v>
      </c>
      <c r="F198" s="2">
        <f t="shared" si="34"/>
        <v>570</v>
      </c>
      <c r="G198" s="2">
        <v>12</v>
      </c>
      <c r="H198" s="2">
        <f t="shared" si="35"/>
        <v>6840</v>
      </c>
      <c r="I198" s="2"/>
      <c r="J198" s="2"/>
      <c r="K198" s="2"/>
      <c r="L198" s="2"/>
      <c r="M198" s="2"/>
      <c r="N198" s="2"/>
      <c r="O198" s="2"/>
      <c r="P198" s="2"/>
      <c r="Q198" s="2"/>
      <c r="R198" s="3"/>
    </row>
    <row r="199" spans="1:18" ht="12.75">
      <c r="A199" s="8"/>
      <c r="B199" s="2"/>
      <c r="C199" s="2">
        <v>2</v>
      </c>
      <c r="D199" s="2">
        <v>5</v>
      </c>
      <c r="E199" s="2">
        <v>18</v>
      </c>
      <c r="F199" s="2">
        <f t="shared" si="34"/>
        <v>540</v>
      </c>
      <c r="G199" s="2">
        <v>12</v>
      </c>
      <c r="H199" s="2">
        <f t="shared" si="35"/>
        <v>6480</v>
      </c>
      <c r="I199" s="2"/>
      <c r="J199" s="2"/>
      <c r="K199" s="2"/>
      <c r="L199" s="2"/>
      <c r="M199" s="2"/>
      <c r="N199" s="2"/>
      <c r="O199" s="2"/>
      <c r="P199" s="2"/>
      <c r="Q199" s="2"/>
      <c r="R199" s="3"/>
    </row>
    <row r="200" spans="1:18" ht="12.75">
      <c r="A200" s="8"/>
      <c r="B200" s="2"/>
      <c r="C200" s="2">
        <v>2</v>
      </c>
      <c r="D200" s="2">
        <v>6</v>
      </c>
      <c r="E200" s="2">
        <v>17</v>
      </c>
      <c r="F200" s="2">
        <f t="shared" si="34"/>
        <v>510</v>
      </c>
      <c r="G200" s="2">
        <v>12</v>
      </c>
      <c r="H200" s="2">
        <f t="shared" si="35"/>
        <v>6120</v>
      </c>
      <c r="I200" s="2"/>
      <c r="J200" s="2"/>
      <c r="K200" s="2"/>
      <c r="L200" s="2"/>
      <c r="M200" s="2"/>
      <c r="N200" s="2"/>
      <c r="O200" s="2"/>
      <c r="P200" s="2"/>
      <c r="Q200" s="2"/>
      <c r="R200" s="3"/>
    </row>
    <row r="201" spans="1:18" ht="12.75">
      <c r="A201" s="8"/>
      <c r="B201" s="2"/>
      <c r="C201" s="2">
        <v>2</v>
      </c>
      <c r="D201" s="2">
        <v>7</v>
      </c>
      <c r="E201" s="2">
        <v>16</v>
      </c>
      <c r="F201" s="2">
        <f t="shared" si="34"/>
        <v>480</v>
      </c>
      <c r="G201" s="2">
        <v>12</v>
      </c>
      <c r="H201" s="2">
        <f t="shared" si="35"/>
        <v>5760</v>
      </c>
      <c r="I201" s="2"/>
      <c r="J201" s="2"/>
      <c r="K201" s="2"/>
      <c r="L201" s="2"/>
      <c r="M201" s="2"/>
      <c r="N201" s="2"/>
      <c r="O201" s="2"/>
      <c r="P201" s="2"/>
      <c r="Q201" s="2"/>
      <c r="R201" s="3"/>
    </row>
    <row r="202" spans="1:18" ht="12.75">
      <c r="A202" s="8"/>
      <c r="B202" s="2"/>
      <c r="C202" s="2">
        <v>2</v>
      </c>
      <c r="D202" s="2">
        <v>8</v>
      </c>
      <c r="E202" s="2">
        <v>14</v>
      </c>
      <c r="F202" s="2">
        <f t="shared" si="34"/>
        <v>420</v>
      </c>
      <c r="G202" s="2">
        <v>12</v>
      </c>
      <c r="H202" s="2">
        <f t="shared" si="35"/>
        <v>5040</v>
      </c>
      <c r="I202" s="2"/>
      <c r="J202" s="2"/>
      <c r="K202" s="2"/>
      <c r="L202" s="2"/>
      <c r="M202" s="2"/>
      <c r="N202" s="2"/>
      <c r="O202" s="2"/>
      <c r="P202" s="2"/>
      <c r="Q202" s="2"/>
      <c r="R202" s="3"/>
    </row>
    <row r="203" spans="1:18" ht="12.75">
      <c r="A203" s="8"/>
      <c r="B203" s="2"/>
      <c r="C203" s="2">
        <v>2</v>
      </c>
      <c r="D203" s="2">
        <v>9</v>
      </c>
      <c r="E203" s="2">
        <v>13</v>
      </c>
      <c r="F203" s="2">
        <f t="shared" si="34"/>
        <v>390</v>
      </c>
      <c r="G203" s="2">
        <v>12</v>
      </c>
      <c r="H203" s="2">
        <f t="shared" si="35"/>
        <v>4680</v>
      </c>
      <c r="I203" s="2"/>
      <c r="J203" s="2"/>
      <c r="K203" s="2"/>
      <c r="L203" s="2"/>
      <c r="M203" s="2"/>
      <c r="N203" s="2"/>
      <c r="O203" s="2"/>
      <c r="P203" s="2"/>
      <c r="Q203" s="2"/>
      <c r="R203" s="3"/>
    </row>
    <row r="204" spans="1:18" ht="12.75">
      <c r="A204" s="8"/>
      <c r="B204" s="2"/>
      <c r="C204" s="2">
        <v>2</v>
      </c>
      <c r="D204" s="2">
        <v>10</v>
      </c>
      <c r="E204" s="2">
        <v>12</v>
      </c>
      <c r="F204" s="2">
        <f t="shared" si="34"/>
        <v>360</v>
      </c>
      <c r="G204" s="2">
        <v>14</v>
      </c>
      <c r="H204" s="2">
        <f t="shared" si="35"/>
        <v>5040</v>
      </c>
      <c r="I204" s="2"/>
      <c r="J204" s="2"/>
      <c r="K204" s="2"/>
      <c r="L204" s="2"/>
      <c r="M204" s="2"/>
      <c r="N204" s="2"/>
      <c r="O204" s="2"/>
      <c r="P204" s="2"/>
      <c r="Q204" s="2"/>
      <c r="R204" s="3"/>
    </row>
    <row r="205" spans="1:18" ht="12.75">
      <c r="A205" s="8"/>
      <c r="B205" s="2"/>
      <c r="C205" s="2">
        <v>1</v>
      </c>
      <c r="D205" s="2" t="s">
        <v>105</v>
      </c>
      <c r="E205" s="2"/>
      <c r="F205" s="2">
        <f t="shared" si="34"/>
        <v>0</v>
      </c>
      <c r="G205" s="2">
        <v>10</v>
      </c>
      <c r="H205" s="2">
        <f t="shared" si="35"/>
        <v>0</v>
      </c>
      <c r="I205" s="2"/>
      <c r="J205" s="2"/>
      <c r="K205" s="2"/>
      <c r="L205" s="2"/>
      <c r="M205" s="2"/>
      <c r="N205" s="2"/>
      <c r="O205" s="2"/>
      <c r="P205" s="2"/>
      <c r="Q205" s="2"/>
      <c r="R205" s="3"/>
    </row>
    <row r="206" spans="1:18" ht="12.75">
      <c r="A206" s="8"/>
      <c r="B206" s="332" t="s">
        <v>104</v>
      </c>
      <c r="C206" s="333"/>
      <c r="D206" s="4"/>
      <c r="E206" s="4"/>
      <c r="F206" s="4"/>
      <c r="G206" s="4">
        <f>SUM(G195:G205)</f>
        <v>108</v>
      </c>
      <c r="H206" s="4">
        <f>SUM(H195:H205)</f>
        <v>47160</v>
      </c>
      <c r="I206" s="4">
        <v>17</v>
      </c>
      <c r="J206" s="4">
        <f>I206*H206/1000</f>
        <v>801.72</v>
      </c>
      <c r="K206" s="4">
        <v>0</v>
      </c>
      <c r="L206" s="4">
        <v>2000</v>
      </c>
      <c r="M206" s="4">
        <f>L206*K206/1000</f>
        <v>0</v>
      </c>
      <c r="N206" s="4"/>
      <c r="O206" s="4"/>
      <c r="P206" s="4"/>
      <c r="Q206" s="4"/>
      <c r="R206" s="4">
        <f>J206+M206+Q206</f>
        <v>801.72</v>
      </c>
    </row>
    <row r="207" spans="1:18" ht="12.75">
      <c r="A207" s="8"/>
      <c r="B207" s="2">
        <v>7</v>
      </c>
      <c r="C207" s="2">
        <v>2</v>
      </c>
      <c r="D207" s="2">
        <v>1</v>
      </c>
      <c r="E207" s="2">
        <v>14</v>
      </c>
      <c r="F207" s="2">
        <f>E207*30</f>
        <v>420</v>
      </c>
      <c r="G207" s="2">
        <v>0</v>
      </c>
      <c r="H207" s="2">
        <f>G207*F207</f>
        <v>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2.75">
      <c r="A208" s="8"/>
      <c r="B208" s="2"/>
      <c r="C208" s="2">
        <v>2</v>
      </c>
      <c r="D208" s="2">
        <v>2</v>
      </c>
      <c r="E208" s="2">
        <v>20</v>
      </c>
      <c r="F208" s="2">
        <f aca="true" t="shared" si="36" ref="F208:F217">E208*30</f>
        <v>600</v>
      </c>
      <c r="G208" s="2">
        <v>0</v>
      </c>
      <c r="H208" s="2">
        <f aca="true" t="shared" si="37" ref="H208:H217">G208*F208</f>
        <v>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2.75">
      <c r="A209" s="8"/>
      <c r="B209" s="2"/>
      <c r="C209" s="2">
        <v>2</v>
      </c>
      <c r="D209" s="2">
        <v>3</v>
      </c>
      <c r="E209" s="2">
        <v>20</v>
      </c>
      <c r="F209" s="2">
        <f t="shared" si="36"/>
        <v>600</v>
      </c>
      <c r="G209" s="2">
        <v>0</v>
      </c>
      <c r="H209" s="2">
        <f t="shared" si="37"/>
        <v>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2.75">
      <c r="A210" s="8"/>
      <c r="B210" s="2"/>
      <c r="C210" s="2">
        <v>2</v>
      </c>
      <c r="D210" s="2">
        <v>4</v>
      </c>
      <c r="E210" s="2">
        <v>19</v>
      </c>
      <c r="F210" s="2">
        <f t="shared" si="36"/>
        <v>570</v>
      </c>
      <c r="G210" s="2">
        <v>12</v>
      </c>
      <c r="H210" s="2">
        <f t="shared" si="37"/>
        <v>6840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2.75">
      <c r="A211" s="8"/>
      <c r="B211" s="2"/>
      <c r="C211" s="2">
        <v>2</v>
      </c>
      <c r="D211" s="2">
        <v>5</v>
      </c>
      <c r="E211" s="2">
        <v>18</v>
      </c>
      <c r="F211" s="2">
        <f t="shared" si="36"/>
        <v>540</v>
      </c>
      <c r="G211" s="2">
        <v>12</v>
      </c>
      <c r="H211" s="2">
        <f t="shared" si="37"/>
        <v>6480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2.75">
      <c r="A212" s="8"/>
      <c r="B212" s="2"/>
      <c r="C212" s="2">
        <v>2</v>
      </c>
      <c r="D212" s="2">
        <v>6</v>
      </c>
      <c r="E212" s="2">
        <v>17</v>
      </c>
      <c r="F212" s="2">
        <f t="shared" si="36"/>
        <v>510</v>
      </c>
      <c r="G212" s="2">
        <v>12</v>
      </c>
      <c r="H212" s="2">
        <f t="shared" si="37"/>
        <v>6120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2.75">
      <c r="A213" s="8"/>
      <c r="B213" s="2"/>
      <c r="C213" s="2">
        <v>2</v>
      </c>
      <c r="D213" s="2">
        <v>7</v>
      </c>
      <c r="E213" s="2">
        <v>16</v>
      </c>
      <c r="F213" s="2">
        <f t="shared" si="36"/>
        <v>480</v>
      </c>
      <c r="G213" s="2">
        <v>12</v>
      </c>
      <c r="H213" s="2">
        <f t="shared" si="37"/>
        <v>5760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2.75">
      <c r="A214" s="8"/>
      <c r="B214" s="2"/>
      <c r="C214" s="2">
        <v>2</v>
      </c>
      <c r="D214" s="2">
        <v>8</v>
      </c>
      <c r="E214" s="2">
        <v>14</v>
      </c>
      <c r="F214" s="2">
        <f t="shared" si="36"/>
        <v>420</v>
      </c>
      <c r="G214" s="2">
        <v>12</v>
      </c>
      <c r="H214" s="2">
        <f t="shared" si="37"/>
        <v>5040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2.75">
      <c r="A215" s="8"/>
      <c r="B215" s="2"/>
      <c r="C215" s="2">
        <v>2</v>
      </c>
      <c r="D215" s="2">
        <v>9</v>
      </c>
      <c r="E215" s="2">
        <v>13</v>
      </c>
      <c r="F215" s="2">
        <f t="shared" si="36"/>
        <v>390</v>
      </c>
      <c r="G215" s="2">
        <v>12</v>
      </c>
      <c r="H215" s="2">
        <f t="shared" si="37"/>
        <v>4680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2.75">
      <c r="A216" s="8"/>
      <c r="B216" s="2"/>
      <c r="C216" s="2">
        <v>2</v>
      </c>
      <c r="D216" s="2">
        <v>10</v>
      </c>
      <c r="E216" s="2">
        <v>12</v>
      </c>
      <c r="F216" s="2">
        <f t="shared" si="36"/>
        <v>360</v>
      </c>
      <c r="G216" s="2">
        <v>16</v>
      </c>
      <c r="H216" s="2">
        <f t="shared" si="37"/>
        <v>5760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2.75">
      <c r="A217" s="8"/>
      <c r="B217" s="2"/>
      <c r="C217" s="2" t="s">
        <v>109</v>
      </c>
      <c r="D217" s="2" t="s">
        <v>105</v>
      </c>
      <c r="E217" s="2"/>
      <c r="F217" s="2">
        <f t="shared" si="36"/>
        <v>0</v>
      </c>
      <c r="G217" s="2">
        <v>20</v>
      </c>
      <c r="H217" s="2">
        <f t="shared" si="37"/>
        <v>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2.75">
      <c r="A218" s="8"/>
      <c r="B218" s="332" t="s">
        <v>106</v>
      </c>
      <c r="C218" s="333"/>
      <c r="D218" s="4"/>
      <c r="E218" s="4"/>
      <c r="F218" s="4"/>
      <c r="G218" s="4">
        <f>SUM(G207:G217)</f>
        <v>108</v>
      </c>
      <c r="H218" s="4">
        <f>SUM(H207:H217)</f>
        <v>40680</v>
      </c>
      <c r="I218" s="4">
        <v>17</v>
      </c>
      <c r="J218" s="4">
        <f>I218*H218/1000</f>
        <v>691.56</v>
      </c>
      <c r="K218" s="4">
        <v>0</v>
      </c>
      <c r="L218" s="4">
        <v>2000</v>
      </c>
      <c r="M218" s="4">
        <f>L218*K218/1000</f>
        <v>0</v>
      </c>
      <c r="N218" s="4"/>
      <c r="O218" s="4"/>
      <c r="P218" s="4"/>
      <c r="Q218" s="4"/>
      <c r="R218" s="4">
        <f>J218+M218+Q218</f>
        <v>691.56</v>
      </c>
    </row>
    <row r="219" spans="1:18" ht="12.75">
      <c r="A219" s="8"/>
      <c r="B219" s="2">
        <v>8</v>
      </c>
      <c r="C219" s="2">
        <v>3</v>
      </c>
      <c r="D219" s="2">
        <v>1</v>
      </c>
      <c r="E219" s="2">
        <v>15</v>
      </c>
      <c r="F219" s="2">
        <f>E219*30</f>
        <v>450</v>
      </c>
      <c r="G219" s="2">
        <v>10</v>
      </c>
      <c r="H219" s="2">
        <f>G219*F219</f>
        <v>4500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2.75">
      <c r="A220" s="8"/>
      <c r="B220" s="2"/>
      <c r="C220" s="2">
        <v>2</v>
      </c>
      <c r="D220" s="2">
        <v>2</v>
      </c>
      <c r="E220" s="2">
        <v>20</v>
      </c>
      <c r="F220" s="2">
        <f aca="true" t="shared" si="38" ref="F220:F229">E220*30</f>
        <v>600</v>
      </c>
      <c r="G220" s="2">
        <v>0</v>
      </c>
      <c r="H220" s="2">
        <f aca="true" t="shared" si="39" ref="H220:H229">G220*F220</f>
        <v>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2.75">
      <c r="A221" s="8"/>
      <c r="B221" s="2"/>
      <c r="C221" s="2">
        <v>2</v>
      </c>
      <c r="D221" s="2">
        <v>3</v>
      </c>
      <c r="E221" s="2">
        <v>20</v>
      </c>
      <c r="F221" s="2">
        <f t="shared" si="38"/>
        <v>600</v>
      </c>
      <c r="G221" s="2">
        <v>0</v>
      </c>
      <c r="H221" s="2">
        <f t="shared" si="39"/>
        <v>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2.75">
      <c r="A222" s="8"/>
      <c r="B222" s="2"/>
      <c r="C222" s="2">
        <v>2</v>
      </c>
      <c r="D222" s="2">
        <v>4</v>
      </c>
      <c r="E222" s="2">
        <v>19</v>
      </c>
      <c r="F222" s="2">
        <f t="shared" si="38"/>
        <v>570</v>
      </c>
      <c r="G222" s="2">
        <v>0</v>
      </c>
      <c r="H222" s="2">
        <f t="shared" si="39"/>
        <v>0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2.75">
      <c r="A223" s="8"/>
      <c r="B223" s="2"/>
      <c r="C223" s="2">
        <v>2</v>
      </c>
      <c r="D223" s="2">
        <v>5</v>
      </c>
      <c r="E223" s="2">
        <v>18</v>
      </c>
      <c r="F223" s="2">
        <f t="shared" si="38"/>
        <v>540</v>
      </c>
      <c r="G223" s="2">
        <v>12</v>
      </c>
      <c r="H223" s="2">
        <f t="shared" si="39"/>
        <v>6480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2.75">
      <c r="A224" s="8"/>
      <c r="B224" s="2"/>
      <c r="C224" s="2">
        <v>2</v>
      </c>
      <c r="D224" s="2">
        <v>6</v>
      </c>
      <c r="E224" s="2">
        <v>17</v>
      </c>
      <c r="F224" s="2">
        <f t="shared" si="38"/>
        <v>510</v>
      </c>
      <c r="G224" s="2">
        <v>12</v>
      </c>
      <c r="H224" s="2">
        <f t="shared" si="39"/>
        <v>6120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2.75">
      <c r="A225" s="8"/>
      <c r="B225" s="2"/>
      <c r="C225" s="2">
        <v>2</v>
      </c>
      <c r="D225" s="2">
        <v>7</v>
      </c>
      <c r="E225" s="2">
        <v>16</v>
      </c>
      <c r="F225" s="2">
        <f t="shared" si="38"/>
        <v>480</v>
      </c>
      <c r="G225" s="2">
        <v>12</v>
      </c>
      <c r="H225" s="2">
        <f t="shared" si="39"/>
        <v>5760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2.75">
      <c r="A226" s="8"/>
      <c r="B226" s="2"/>
      <c r="C226" s="2">
        <v>2</v>
      </c>
      <c r="D226" s="2">
        <v>8</v>
      </c>
      <c r="E226" s="2">
        <v>14</v>
      </c>
      <c r="F226" s="2">
        <f t="shared" si="38"/>
        <v>420</v>
      </c>
      <c r="G226" s="2">
        <v>12</v>
      </c>
      <c r="H226" s="2">
        <f t="shared" si="39"/>
        <v>5040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.75">
      <c r="A227" s="8"/>
      <c r="B227" s="2"/>
      <c r="C227" s="2">
        <v>2</v>
      </c>
      <c r="D227" s="2">
        <v>9</v>
      </c>
      <c r="E227" s="2">
        <v>13</v>
      </c>
      <c r="F227" s="2">
        <f t="shared" si="38"/>
        <v>390</v>
      </c>
      <c r="G227" s="2">
        <v>12</v>
      </c>
      <c r="H227" s="2">
        <f t="shared" si="39"/>
        <v>4680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.75">
      <c r="A228" s="8"/>
      <c r="B228" s="2"/>
      <c r="C228" s="2">
        <v>2</v>
      </c>
      <c r="D228" s="2">
        <v>10</v>
      </c>
      <c r="E228" s="2">
        <v>12</v>
      </c>
      <c r="F228" s="2">
        <f t="shared" si="38"/>
        <v>360</v>
      </c>
      <c r="G228" s="2">
        <v>18</v>
      </c>
      <c r="H228" s="2">
        <f t="shared" si="39"/>
        <v>6480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2.75">
      <c r="A229" s="8"/>
      <c r="B229" s="2"/>
      <c r="C229" s="2">
        <v>2</v>
      </c>
      <c r="D229" s="2" t="s">
        <v>105</v>
      </c>
      <c r="E229" s="2"/>
      <c r="F229" s="2">
        <f t="shared" si="38"/>
        <v>0</v>
      </c>
      <c r="G229" s="2">
        <v>20</v>
      </c>
      <c r="H229" s="2">
        <f t="shared" si="39"/>
        <v>0</v>
      </c>
      <c r="I229" s="2"/>
      <c r="J229" s="3"/>
      <c r="K229" s="2"/>
      <c r="L229" s="2"/>
      <c r="M229" s="2"/>
      <c r="N229" s="2"/>
      <c r="O229" s="2"/>
      <c r="P229" s="2"/>
      <c r="Q229" s="2"/>
      <c r="R229" s="2"/>
    </row>
    <row r="230" spans="1:18" ht="12.75">
      <c r="A230" s="8"/>
      <c r="B230" s="332" t="s">
        <v>107</v>
      </c>
      <c r="C230" s="333"/>
      <c r="D230" s="4"/>
      <c r="E230" s="4"/>
      <c r="F230" s="4"/>
      <c r="G230" s="4">
        <f>SUM(G219:G229)</f>
        <v>108</v>
      </c>
      <c r="H230" s="4">
        <f>SUM(H219:H228)</f>
        <v>39060</v>
      </c>
      <c r="I230" s="4">
        <v>17</v>
      </c>
      <c r="J230" s="4">
        <f>I230*H230/1000</f>
        <v>664.02</v>
      </c>
      <c r="K230" s="4">
        <v>8</v>
      </c>
      <c r="L230" s="4">
        <v>2000</v>
      </c>
      <c r="M230" s="4">
        <f>L230*K230/1000</f>
        <v>16</v>
      </c>
      <c r="N230" s="4"/>
      <c r="O230" s="4"/>
      <c r="P230" s="4"/>
      <c r="Q230" s="4"/>
      <c r="R230" s="4">
        <f>J230+M230+Q230</f>
        <v>680.02</v>
      </c>
    </row>
    <row r="231" spans="1:18" ht="12.75">
      <c r="A231" s="8"/>
      <c r="B231" s="2">
        <v>9</v>
      </c>
      <c r="C231" s="2">
        <v>3</v>
      </c>
      <c r="D231" s="2">
        <v>1</v>
      </c>
      <c r="E231" s="2">
        <v>15</v>
      </c>
      <c r="F231" s="2">
        <f>E231*30</f>
        <v>450</v>
      </c>
      <c r="G231" s="2">
        <v>10</v>
      </c>
      <c r="H231" s="2">
        <f>G231*F231</f>
        <v>4500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2.75">
      <c r="A232" s="8"/>
      <c r="B232" s="2"/>
      <c r="C232" s="2">
        <v>3</v>
      </c>
      <c r="D232" s="2">
        <v>2</v>
      </c>
      <c r="E232" s="2">
        <v>21</v>
      </c>
      <c r="F232" s="2">
        <f aca="true" t="shared" si="40" ref="F232:F241">E232*30</f>
        <v>630</v>
      </c>
      <c r="G232" s="2">
        <v>10</v>
      </c>
      <c r="H232" s="2">
        <f aca="true" t="shared" si="41" ref="H232:H241">G232*F232</f>
        <v>6300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2.75">
      <c r="A233" s="8"/>
      <c r="B233" s="2"/>
      <c r="C233" s="2">
        <v>2</v>
      </c>
      <c r="D233" s="2">
        <v>3</v>
      </c>
      <c r="E233" s="2">
        <v>20</v>
      </c>
      <c r="F233" s="2">
        <f t="shared" si="40"/>
        <v>600</v>
      </c>
      <c r="G233" s="2">
        <v>0</v>
      </c>
      <c r="H233" s="2">
        <f t="shared" si="41"/>
        <v>0</v>
      </c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2.75">
      <c r="A234" s="8"/>
      <c r="B234" s="2"/>
      <c r="C234" s="2">
        <v>2</v>
      </c>
      <c r="D234" s="2">
        <v>4</v>
      </c>
      <c r="E234" s="2">
        <v>19</v>
      </c>
      <c r="F234" s="2">
        <f t="shared" si="40"/>
        <v>570</v>
      </c>
      <c r="G234" s="2">
        <v>0</v>
      </c>
      <c r="H234" s="2">
        <f t="shared" si="41"/>
        <v>0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2.75">
      <c r="A235" s="8"/>
      <c r="B235" s="2"/>
      <c r="C235" s="2">
        <v>2</v>
      </c>
      <c r="D235" s="2">
        <v>5</v>
      </c>
      <c r="E235" s="2">
        <v>18</v>
      </c>
      <c r="F235" s="2">
        <f t="shared" si="40"/>
        <v>540</v>
      </c>
      <c r="G235" s="2">
        <v>0</v>
      </c>
      <c r="H235" s="2">
        <f t="shared" si="41"/>
        <v>0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2.75">
      <c r="A236" s="8"/>
      <c r="B236" s="2"/>
      <c r="C236" s="2">
        <v>2</v>
      </c>
      <c r="D236" s="2">
        <v>6</v>
      </c>
      <c r="E236" s="2">
        <v>17</v>
      </c>
      <c r="F236" s="2">
        <f t="shared" si="40"/>
        <v>510</v>
      </c>
      <c r="G236" s="2">
        <v>12</v>
      </c>
      <c r="H236" s="2">
        <f t="shared" si="41"/>
        <v>6120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2.75">
      <c r="A237" s="8"/>
      <c r="B237" s="2"/>
      <c r="C237" s="2">
        <v>2</v>
      </c>
      <c r="D237" s="2">
        <v>7</v>
      </c>
      <c r="E237" s="2">
        <v>16</v>
      </c>
      <c r="F237" s="2">
        <f t="shared" si="40"/>
        <v>480</v>
      </c>
      <c r="G237" s="2">
        <v>12</v>
      </c>
      <c r="H237" s="2">
        <f t="shared" si="41"/>
        <v>5760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2.75">
      <c r="A238" s="8"/>
      <c r="B238" s="2"/>
      <c r="C238" s="2">
        <v>2</v>
      </c>
      <c r="D238" s="2">
        <v>8</v>
      </c>
      <c r="E238" s="2">
        <v>14</v>
      </c>
      <c r="F238" s="2">
        <f t="shared" si="40"/>
        <v>420</v>
      </c>
      <c r="G238" s="2">
        <v>12</v>
      </c>
      <c r="H238" s="2">
        <f t="shared" si="41"/>
        <v>5040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2.75">
      <c r="A239" s="8"/>
      <c r="B239" s="2"/>
      <c r="C239" s="2">
        <v>2</v>
      </c>
      <c r="D239" s="2">
        <v>9</v>
      </c>
      <c r="E239" s="2">
        <v>13</v>
      </c>
      <c r="F239" s="2">
        <f t="shared" si="40"/>
        <v>390</v>
      </c>
      <c r="G239" s="2">
        <v>12</v>
      </c>
      <c r="H239" s="2">
        <f t="shared" si="41"/>
        <v>4680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2.75">
      <c r="A240" s="8"/>
      <c r="B240" s="2"/>
      <c r="C240" s="2">
        <v>2</v>
      </c>
      <c r="D240" s="2">
        <v>10</v>
      </c>
      <c r="E240" s="2">
        <v>12</v>
      </c>
      <c r="F240" s="2">
        <f t="shared" si="40"/>
        <v>360</v>
      </c>
      <c r="G240" s="2">
        <v>20</v>
      </c>
      <c r="H240" s="2">
        <f t="shared" si="41"/>
        <v>7200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2.75">
      <c r="A241" s="8"/>
      <c r="B241" s="2"/>
      <c r="C241" s="2">
        <v>2</v>
      </c>
      <c r="D241" s="2" t="s">
        <v>105</v>
      </c>
      <c r="E241" s="2"/>
      <c r="F241" s="2">
        <f t="shared" si="40"/>
        <v>0</v>
      </c>
      <c r="G241" s="2">
        <v>20</v>
      </c>
      <c r="H241" s="2">
        <f t="shared" si="41"/>
        <v>0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2.75">
      <c r="A242" s="8"/>
      <c r="B242" s="332" t="s">
        <v>95</v>
      </c>
      <c r="C242" s="333"/>
      <c r="D242" s="4"/>
      <c r="E242" s="4"/>
      <c r="F242" s="4"/>
      <c r="G242" s="4">
        <f>SUM(G231:G241)</f>
        <v>108</v>
      </c>
      <c r="H242" s="4">
        <f>SUM(H231:H241)</f>
        <v>39600</v>
      </c>
      <c r="I242" s="4">
        <v>17</v>
      </c>
      <c r="J242" s="4">
        <f>I242*H242/1000</f>
        <v>673.2</v>
      </c>
      <c r="K242" s="4">
        <v>8</v>
      </c>
      <c r="L242" s="4">
        <v>2000</v>
      </c>
      <c r="M242" s="4">
        <f>L242*K242/1000</f>
        <v>16</v>
      </c>
      <c r="N242" s="4">
        <v>0</v>
      </c>
      <c r="O242" s="4">
        <v>500</v>
      </c>
      <c r="P242" s="4">
        <v>40</v>
      </c>
      <c r="Q242" s="4">
        <f>P242*O242*N242/1000</f>
        <v>0</v>
      </c>
      <c r="R242" s="4">
        <f>J242+M242+Q242</f>
        <v>689.2</v>
      </c>
    </row>
    <row r="243" spans="1:18" ht="12.75">
      <c r="A243" s="8"/>
      <c r="B243" s="2">
        <v>10</v>
      </c>
      <c r="C243" s="2">
        <v>1</v>
      </c>
      <c r="D243" s="2">
        <v>1</v>
      </c>
      <c r="E243" s="2">
        <v>12</v>
      </c>
      <c r="F243" s="2">
        <f>E243*30</f>
        <v>360</v>
      </c>
      <c r="G243" s="2">
        <v>3</v>
      </c>
      <c r="H243" s="2">
        <f>G243*F243</f>
        <v>1080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2.75">
      <c r="A244" s="8"/>
      <c r="B244" s="2"/>
      <c r="C244" s="2">
        <v>3</v>
      </c>
      <c r="D244" s="2">
        <v>1</v>
      </c>
      <c r="E244" s="2">
        <v>15</v>
      </c>
      <c r="F244" s="2">
        <f aca="true" t="shared" si="42" ref="F244:F254">E244*30</f>
        <v>450</v>
      </c>
      <c r="G244" s="2">
        <v>10</v>
      </c>
      <c r="H244" s="2">
        <f aca="true" t="shared" si="43" ref="H244:H254">G244*F244</f>
        <v>4500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2.75">
      <c r="A245" s="8"/>
      <c r="B245" s="2"/>
      <c r="C245" s="2">
        <v>3</v>
      </c>
      <c r="D245" s="2">
        <v>2</v>
      </c>
      <c r="E245" s="2">
        <v>21</v>
      </c>
      <c r="F245" s="2">
        <f t="shared" si="42"/>
        <v>630</v>
      </c>
      <c r="G245" s="2">
        <v>10</v>
      </c>
      <c r="H245" s="2">
        <f t="shared" si="43"/>
        <v>6300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2.75">
      <c r="A246" s="8"/>
      <c r="B246" s="2"/>
      <c r="C246" s="2">
        <v>3</v>
      </c>
      <c r="D246" s="2">
        <v>3</v>
      </c>
      <c r="E246" s="2">
        <v>21</v>
      </c>
      <c r="F246" s="2">
        <f t="shared" si="42"/>
        <v>630</v>
      </c>
      <c r="G246" s="2">
        <v>10</v>
      </c>
      <c r="H246" s="2">
        <f t="shared" si="43"/>
        <v>6300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2.75">
      <c r="A247" s="8"/>
      <c r="B247" s="2"/>
      <c r="C247" s="2">
        <v>2</v>
      </c>
      <c r="D247" s="2">
        <v>4</v>
      </c>
      <c r="E247" s="2">
        <v>19</v>
      </c>
      <c r="F247" s="2">
        <f t="shared" si="42"/>
        <v>570</v>
      </c>
      <c r="G247" s="2">
        <v>0</v>
      </c>
      <c r="H247" s="2">
        <f t="shared" si="43"/>
        <v>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2.75">
      <c r="A248" s="8"/>
      <c r="B248" s="2"/>
      <c r="C248" s="2">
        <v>2</v>
      </c>
      <c r="D248" s="2">
        <v>5</v>
      </c>
      <c r="E248" s="2">
        <v>18</v>
      </c>
      <c r="F248" s="2">
        <f t="shared" si="42"/>
        <v>540</v>
      </c>
      <c r="G248" s="2">
        <v>0</v>
      </c>
      <c r="H248" s="2">
        <f t="shared" si="43"/>
        <v>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2.75">
      <c r="A249" s="8"/>
      <c r="B249" s="2"/>
      <c r="C249" s="2">
        <v>2</v>
      </c>
      <c r="D249" s="2">
        <v>6</v>
      </c>
      <c r="E249" s="2">
        <v>17</v>
      </c>
      <c r="F249" s="2">
        <f t="shared" si="42"/>
        <v>510</v>
      </c>
      <c r="G249" s="2">
        <v>0</v>
      </c>
      <c r="H249" s="2">
        <f t="shared" si="43"/>
        <v>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2.75">
      <c r="A250" s="8"/>
      <c r="B250" s="2"/>
      <c r="C250" s="2">
        <v>2</v>
      </c>
      <c r="D250" s="2">
        <v>7</v>
      </c>
      <c r="E250" s="2">
        <v>16</v>
      </c>
      <c r="F250" s="2">
        <f t="shared" si="42"/>
        <v>480</v>
      </c>
      <c r="G250" s="2">
        <v>12</v>
      </c>
      <c r="H250" s="2">
        <f t="shared" si="43"/>
        <v>5760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2.75">
      <c r="A251" s="8"/>
      <c r="B251" s="2"/>
      <c r="C251" s="2">
        <v>2</v>
      </c>
      <c r="D251" s="2">
        <v>8</v>
      </c>
      <c r="E251" s="2">
        <v>14</v>
      </c>
      <c r="F251" s="2">
        <f t="shared" si="42"/>
        <v>420</v>
      </c>
      <c r="G251" s="2">
        <v>12</v>
      </c>
      <c r="H251" s="2">
        <f t="shared" si="43"/>
        <v>5040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2.75">
      <c r="A252" s="8"/>
      <c r="B252" s="2"/>
      <c r="C252" s="2">
        <v>2</v>
      </c>
      <c r="D252" s="2">
        <v>9</v>
      </c>
      <c r="E252" s="2">
        <v>13</v>
      </c>
      <c r="F252" s="2">
        <f t="shared" si="42"/>
        <v>390</v>
      </c>
      <c r="G252" s="2">
        <v>12</v>
      </c>
      <c r="H252" s="2">
        <f t="shared" si="43"/>
        <v>4680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2.75">
      <c r="A253" s="8"/>
      <c r="B253" s="2"/>
      <c r="C253" s="2">
        <v>2</v>
      </c>
      <c r="D253" s="2">
        <v>10</v>
      </c>
      <c r="E253" s="2">
        <v>12</v>
      </c>
      <c r="F253" s="2">
        <f t="shared" si="42"/>
        <v>360</v>
      </c>
      <c r="G253" s="2">
        <v>22</v>
      </c>
      <c r="H253" s="2">
        <f t="shared" si="43"/>
        <v>7920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2.75">
      <c r="A254" s="8"/>
      <c r="B254" s="2"/>
      <c r="C254" s="2">
        <v>2</v>
      </c>
      <c r="D254" s="2" t="s">
        <v>105</v>
      </c>
      <c r="E254" s="2"/>
      <c r="F254" s="2">
        <f t="shared" si="42"/>
        <v>0</v>
      </c>
      <c r="G254" s="2">
        <v>20</v>
      </c>
      <c r="H254" s="2">
        <f t="shared" si="43"/>
        <v>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2.75">
      <c r="A255" s="8"/>
      <c r="B255" s="332" t="s">
        <v>96</v>
      </c>
      <c r="C255" s="333"/>
      <c r="D255" s="4"/>
      <c r="E255" s="4"/>
      <c r="F255" s="4"/>
      <c r="G255" s="4">
        <f>SUM(G243:G254)</f>
        <v>111</v>
      </c>
      <c r="H255" s="4">
        <f>SUM(H243:H254)</f>
        <v>41580</v>
      </c>
      <c r="I255" s="4">
        <v>17</v>
      </c>
      <c r="J255" s="4">
        <f>I255*H255/1000</f>
        <v>706.86</v>
      </c>
      <c r="K255" s="4">
        <v>11</v>
      </c>
      <c r="L255" s="4">
        <v>2000</v>
      </c>
      <c r="M255" s="4">
        <f>L255*K255/1000</f>
        <v>22</v>
      </c>
      <c r="N255" s="4">
        <v>0</v>
      </c>
      <c r="O255" s="4">
        <v>500</v>
      </c>
      <c r="P255" s="4">
        <v>40</v>
      </c>
      <c r="Q255" s="4">
        <f>P255*O255*N255/1000</f>
        <v>0</v>
      </c>
      <c r="R255" s="4">
        <f>J255+M255+Q255</f>
        <v>728.86</v>
      </c>
    </row>
    <row r="256" spans="1:18" ht="12.75">
      <c r="A256" s="8"/>
      <c r="B256" s="2">
        <v>11</v>
      </c>
      <c r="C256" s="2">
        <v>1</v>
      </c>
      <c r="D256" s="2">
        <v>1</v>
      </c>
      <c r="E256" s="2">
        <v>12</v>
      </c>
      <c r="F256" s="2">
        <f>E256*30</f>
        <v>360</v>
      </c>
      <c r="G256" s="2">
        <v>3</v>
      </c>
      <c r="H256" s="2">
        <f>G256*F256</f>
        <v>1080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2.75">
      <c r="A257" s="8"/>
      <c r="B257" s="2"/>
      <c r="C257" s="2">
        <v>1</v>
      </c>
      <c r="D257" s="2">
        <v>2</v>
      </c>
      <c r="E257" s="2">
        <v>18</v>
      </c>
      <c r="F257" s="2">
        <f aca="true" t="shared" si="44" ref="F257:F268">E257*30</f>
        <v>540</v>
      </c>
      <c r="G257" s="2">
        <v>3</v>
      </c>
      <c r="H257" s="2">
        <f aca="true" t="shared" si="45" ref="H257:H268">G257*F257</f>
        <v>1620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2.75">
      <c r="A258" s="8"/>
      <c r="B258" s="2"/>
      <c r="C258" s="2">
        <v>3</v>
      </c>
      <c r="D258" s="2">
        <v>1</v>
      </c>
      <c r="E258" s="2">
        <v>15</v>
      </c>
      <c r="F258" s="2">
        <f t="shared" si="44"/>
        <v>450</v>
      </c>
      <c r="G258" s="2">
        <v>10</v>
      </c>
      <c r="H258" s="2">
        <f t="shared" si="45"/>
        <v>4500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2.75">
      <c r="A259" s="8"/>
      <c r="B259" s="2"/>
      <c r="C259" s="2">
        <v>3</v>
      </c>
      <c r="D259" s="2">
        <v>2</v>
      </c>
      <c r="E259" s="2">
        <v>21</v>
      </c>
      <c r="F259" s="2">
        <f t="shared" si="44"/>
        <v>630</v>
      </c>
      <c r="G259" s="2">
        <v>10</v>
      </c>
      <c r="H259" s="2">
        <f t="shared" si="45"/>
        <v>6300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2.75">
      <c r="A260" s="8"/>
      <c r="B260" s="2"/>
      <c r="C260" s="2">
        <v>3</v>
      </c>
      <c r="D260" s="2">
        <v>3</v>
      </c>
      <c r="E260" s="2">
        <v>21</v>
      </c>
      <c r="F260" s="2">
        <f t="shared" si="44"/>
        <v>630</v>
      </c>
      <c r="G260" s="2">
        <v>10</v>
      </c>
      <c r="H260" s="2">
        <f t="shared" si="45"/>
        <v>6300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2.75">
      <c r="A261" s="8"/>
      <c r="B261" s="2"/>
      <c r="C261" s="2">
        <v>3</v>
      </c>
      <c r="D261" s="2">
        <v>4</v>
      </c>
      <c r="E261" s="2">
        <v>19</v>
      </c>
      <c r="F261" s="2">
        <f t="shared" si="44"/>
        <v>570</v>
      </c>
      <c r="G261" s="2">
        <v>10</v>
      </c>
      <c r="H261" s="2">
        <f t="shared" si="45"/>
        <v>5700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2.75">
      <c r="A262" s="8"/>
      <c r="B262" s="2"/>
      <c r="C262" s="2">
        <v>2</v>
      </c>
      <c r="D262" s="2">
        <v>5</v>
      </c>
      <c r="E262" s="2">
        <v>18</v>
      </c>
      <c r="F262" s="2">
        <f t="shared" si="44"/>
        <v>540</v>
      </c>
      <c r="G262" s="2">
        <v>0</v>
      </c>
      <c r="H262" s="2">
        <f t="shared" si="45"/>
        <v>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2.75">
      <c r="A263" s="8"/>
      <c r="B263" s="2"/>
      <c r="C263" s="2">
        <v>2</v>
      </c>
      <c r="D263" s="2">
        <v>6</v>
      </c>
      <c r="E263" s="2">
        <v>17</v>
      </c>
      <c r="F263" s="2">
        <f t="shared" si="44"/>
        <v>510</v>
      </c>
      <c r="G263" s="2">
        <v>0</v>
      </c>
      <c r="H263" s="2">
        <f t="shared" si="45"/>
        <v>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2.75">
      <c r="A264" s="8"/>
      <c r="B264" s="2"/>
      <c r="C264" s="2">
        <v>2</v>
      </c>
      <c r="D264" s="2">
        <v>7</v>
      </c>
      <c r="E264" s="2">
        <v>16</v>
      </c>
      <c r="F264" s="2">
        <f t="shared" si="44"/>
        <v>480</v>
      </c>
      <c r="G264" s="2">
        <v>0</v>
      </c>
      <c r="H264" s="2">
        <f t="shared" si="45"/>
        <v>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2.75">
      <c r="A265" s="8"/>
      <c r="B265" s="2"/>
      <c r="C265" s="2">
        <v>2</v>
      </c>
      <c r="D265" s="2">
        <v>8</v>
      </c>
      <c r="E265" s="2">
        <v>14</v>
      </c>
      <c r="F265" s="2">
        <f t="shared" si="44"/>
        <v>420</v>
      </c>
      <c r="G265" s="2">
        <v>12</v>
      </c>
      <c r="H265" s="2">
        <f t="shared" si="45"/>
        <v>5040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2.75">
      <c r="A266" s="8"/>
      <c r="B266" s="2"/>
      <c r="C266" s="2">
        <v>2</v>
      </c>
      <c r="D266" s="2">
        <v>9</v>
      </c>
      <c r="E266" s="2">
        <v>13</v>
      </c>
      <c r="F266" s="2">
        <f t="shared" si="44"/>
        <v>390</v>
      </c>
      <c r="G266" s="2">
        <v>12</v>
      </c>
      <c r="H266" s="2">
        <f t="shared" si="45"/>
        <v>4680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2.75">
      <c r="A267" s="8"/>
      <c r="B267" s="2"/>
      <c r="C267" s="2">
        <v>2</v>
      </c>
      <c r="D267" s="2">
        <v>10</v>
      </c>
      <c r="E267" s="2">
        <v>12</v>
      </c>
      <c r="F267" s="2">
        <f t="shared" si="44"/>
        <v>360</v>
      </c>
      <c r="G267" s="2">
        <v>24</v>
      </c>
      <c r="H267" s="2">
        <f t="shared" si="45"/>
        <v>8640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2.75">
      <c r="A268" s="8"/>
      <c r="B268" s="2"/>
      <c r="C268" s="2">
        <v>2</v>
      </c>
      <c r="D268" s="2" t="s">
        <v>105</v>
      </c>
      <c r="E268" s="2"/>
      <c r="F268" s="2">
        <f t="shared" si="44"/>
        <v>0</v>
      </c>
      <c r="G268" s="2">
        <v>20</v>
      </c>
      <c r="H268" s="2">
        <f t="shared" si="45"/>
        <v>0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2.75">
      <c r="A269" s="8"/>
      <c r="B269" s="332" t="s">
        <v>97</v>
      </c>
      <c r="C269" s="333"/>
      <c r="D269" s="4"/>
      <c r="E269" s="4"/>
      <c r="F269" s="4"/>
      <c r="G269" s="4">
        <f>SUM(G256:G268)</f>
        <v>114</v>
      </c>
      <c r="H269" s="4">
        <f>SUM(H256:H268)</f>
        <v>43860</v>
      </c>
      <c r="I269" s="4">
        <v>17</v>
      </c>
      <c r="J269" s="4">
        <f>I269*H269/1000</f>
        <v>745.62</v>
      </c>
      <c r="K269" s="4">
        <v>11</v>
      </c>
      <c r="L269" s="4">
        <v>2000</v>
      </c>
      <c r="M269" s="4">
        <f>L269*K269/1000</f>
        <v>22</v>
      </c>
      <c r="N269" s="4">
        <v>0</v>
      </c>
      <c r="O269" s="4">
        <v>500</v>
      </c>
      <c r="P269" s="4">
        <v>40</v>
      </c>
      <c r="Q269" s="4">
        <f>P269*O269*N269/1000</f>
        <v>0</v>
      </c>
      <c r="R269" s="4">
        <f>J269+M269+Q269</f>
        <v>767.62</v>
      </c>
    </row>
    <row r="270" spans="1:18" ht="12.75">
      <c r="A270" s="8"/>
      <c r="B270" s="2">
        <v>12</v>
      </c>
      <c r="C270" s="2">
        <v>1</v>
      </c>
      <c r="D270" s="2">
        <v>1</v>
      </c>
      <c r="E270" s="2">
        <v>12</v>
      </c>
      <c r="F270" s="2">
        <f>E270*30</f>
        <v>360</v>
      </c>
      <c r="G270" s="2">
        <v>3</v>
      </c>
      <c r="H270" s="2">
        <f>G270*F270</f>
        <v>1080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2.75">
      <c r="A271" s="8"/>
      <c r="B271" s="2"/>
      <c r="C271" s="2">
        <v>1</v>
      </c>
      <c r="D271" s="2">
        <v>2</v>
      </c>
      <c r="E271" s="2">
        <v>18</v>
      </c>
      <c r="F271" s="2">
        <f aca="true" t="shared" si="46" ref="F271:F283">E271*30</f>
        <v>540</v>
      </c>
      <c r="G271" s="2">
        <v>3</v>
      </c>
      <c r="H271" s="2">
        <f aca="true" t="shared" si="47" ref="H271:H283">G271*F271</f>
        <v>1620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2.75">
      <c r="A272" s="8"/>
      <c r="B272" s="2"/>
      <c r="C272" s="2">
        <v>1</v>
      </c>
      <c r="D272" s="2">
        <v>3</v>
      </c>
      <c r="E272" s="2">
        <v>18</v>
      </c>
      <c r="F272" s="2">
        <f t="shared" si="46"/>
        <v>540</v>
      </c>
      <c r="G272" s="2">
        <v>3</v>
      </c>
      <c r="H272" s="2">
        <f t="shared" si="47"/>
        <v>1620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2.75">
      <c r="A273" s="8"/>
      <c r="B273" s="2"/>
      <c r="C273" s="2">
        <v>3</v>
      </c>
      <c r="D273" s="2">
        <v>1</v>
      </c>
      <c r="E273" s="2">
        <v>15</v>
      </c>
      <c r="F273" s="2">
        <f t="shared" si="46"/>
        <v>450</v>
      </c>
      <c r="G273" s="2">
        <v>10</v>
      </c>
      <c r="H273" s="2">
        <f t="shared" si="47"/>
        <v>4500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2.75">
      <c r="A274" s="8"/>
      <c r="B274" s="2"/>
      <c r="C274" s="2">
        <v>3</v>
      </c>
      <c r="D274" s="2">
        <v>2</v>
      </c>
      <c r="E274" s="2">
        <v>21</v>
      </c>
      <c r="F274" s="2">
        <f t="shared" si="46"/>
        <v>630</v>
      </c>
      <c r="G274" s="2">
        <v>10</v>
      </c>
      <c r="H274" s="2">
        <f t="shared" si="47"/>
        <v>6300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2.75">
      <c r="A275" s="8"/>
      <c r="B275" s="2"/>
      <c r="C275" s="2">
        <v>3</v>
      </c>
      <c r="D275" s="2">
        <v>3</v>
      </c>
      <c r="E275" s="2">
        <v>21</v>
      </c>
      <c r="F275" s="2">
        <f t="shared" si="46"/>
        <v>630</v>
      </c>
      <c r="G275" s="2">
        <v>10</v>
      </c>
      <c r="H275" s="2">
        <f t="shared" si="47"/>
        <v>6300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2.75">
      <c r="A276" s="8"/>
      <c r="B276" s="2"/>
      <c r="C276" s="2">
        <v>3</v>
      </c>
      <c r="D276" s="2">
        <v>4</v>
      </c>
      <c r="E276" s="2">
        <v>19</v>
      </c>
      <c r="F276" s="2">
        <f t="shared" si="46"/>
        <v>570</v>
      </c>
      <c r="G276" s="2">
        <v>10</v>
      </c>
      <c r="H276" s="2">
        <f t="shared" si="47"/>
        <v>5700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2.75">
      <c r="A277" s="8"/>
      <c r="B277" s="2"/>
      <c r="C277" s="2">
        <v>3</v>
      </c>
      <c r="D277" s="2">
        <v>5</v>
      </c>
      <c r="E277" s="2">
        <v>18</v>
      </c>
      <c r="F277" s="2">
        <f t="shared" si="46"/>
        <v>540</v>
      </c>
      <c r="G277" s="2">
        <v>10</v>
      </c>
      <c r="H277" s="2">
        <f t="shared" si="47"/>
        <v>5400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2.75">
      <c r="A278" s="8"/>
      <c r="B278" s="2"/>
      <c r="C278" s="2">
        <v>2</v>
      </c>
      <c r="D278" s="2">
        <v>6</v>
      </c>
      <c r="E278" s="2">
        <v>17</v>
      </c>
      <c r="F278" s="2">
        <f t="shared" si="46"/>
        <v>510</v>
      </c>
      <c r="G278" s="2">
        <v>0</v>
      </c>
      <c r="H278" s="2">
        <f t="shared" si="47"/>
        <v>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2.75">
      <c r="A279" s="8"/>
      <c r="B279" s="2"/>
      <c r="C279" s="2">
        <v>2</v>
      </c>
      <c r="D279" s="2">
        <v>7</v>
      </c>
      <c r="E279" s="2">
        <v>16</v>
      </c>
      <c r="F279" s="2">
        <f t="shared" si="46"/>
        <v>480</v>
      </c>
      <c r="G279" s="2">
        <v>0</v>
      </c>
      <c r="H279" s="2">
        <f t="shared" si="47"/>
        <v>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2.75">
      <c r="A280" s="8"/>
      <c r="B280" s="2"/>
      <c r="C280" s="2">
        <v>2</v>
      </c>
      <c r="D280" s="2">
        <v>8</v>
      </c>
      <c r="E280" s="2">
        <v>14</v>
      </c>
      <c r="F280" s="2">
        <f t="shared" si="46"/>
        <v>420</v>
      </c>
      <c r="G280" s="2">
        <v>0</v>
      </c>
      <c r="H280" s="2">
        <f t="shared" si="47"/>
        <v>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2.75">
      <c r="A281" s="8"/>
      <c r="B281" s="2"/>
      <c r="C281" s="2">
        <v>2</v>
      </c>
      <c r="D281" s="2">
        <v>9</v>
      </c>
      <c r="E281" s="2">
        <v>13</v>
      </c>
      <c r="F281" s="2">
        <f t="shared" si="46"/>
        <v>390</v>
      </c>
      <c r="G281" s="2">
        <v>12</v>
      </c>
      <c r="H281" s="2">
        <f t="shared" si="47"/>
        <v>4680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2.75">
      <c r="A282" s="8"/>
      <c r="B282" s="2"/>
      <c r="C282" s="2">
        <v>2</v>
      </c>
      <c r="D282" s="2">
        <v>10</v>
      </c>
      <c r="E282" s="2">
        <v>12</v>
      </c>
      <c r="F282" s="2">
        <f t="shared" si="46"/>
        <v>360</v>
      </c>
      <c r="G282" s="2">
        <v>25</v>
      </c>
      <c r="H282" s="2">
        <f t="shared" si="47"/>
        <v>9000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2.75">
      <c r="A283" s="8"/>
      <c r="B283" s="2"/>
      <c r="C283" s="2">
        <v>2</v>
      </c>
      <c r="D283" s="2" t="s">
        <v>105</v>
      </c>
      <c r="E283" s="2"/>
      <c r="F283" s="2">
        <f t="shared" si="46"/>
        <v>0</v>
      </c>
      <c r="G283" s="2">
        <v>20</v>
      </c>
      <c r="H283" s="2">
        <f t="shared" si="47"/>
        <v>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2.75">
      <c r="A284" s="8"/>
      <c r="B284" s="332" t="s">
        <v>98</v>
      </c>
      <c r="C284" s="333"/>
      <c r="D284" s="4"/>
      <c r="E284" s="4"/>
      <c r="F284" s="4"/>
      <c r="G284" s="4">
        <f>SUM(G270:G283)</f>
        <v>116</v>
      </c>
      <c r="H284" s="4">
        <f>SUM(H270:H283)</f>
        <v>46200</v>
      </c>
      <c r="I284" s="4">
        <v>17</v>
      </c>
      <c r="J284" s="4">
        <f>I284*H284/1000</f>
        <v>785.4</v>
      </c>
      <c r="K284" s="4">
        <v>11</v>
      </c>
      <c r="L284" s="4">
        <v>2000</v>
      </c>
      <c r="M284" s="4">
        <f>L284*K284/1000</f>
        <v>22</v>
      </c>
      <c r="N284" s="4">
        <v>1</v>
      </c>
      <c r="O284" s="4">
        <v>500</v>
      </c>
      <c r="P284" s="4">
        <v>40</v>
      </c>
      <c r="Q284" s="4">
        <f>P284*O284*N284/1000</f>
        <v>20</v>
      </c>
      <c r="R284" s="4">
        <f>J284+M284+Q284</f>
        <v>827.4</v>
      </c>
    </row>
    <row r="285" spans="1:19" ht="12.75">
      <c r="A285" s="325" t="s">
        <v>77</v>
      </c>
      <c r="B285" s="326"/>
      <c r="C285" s="327"/>
      <c r="D285" s="8"/>
      <c r="E285" s="8"/>
      <c r="F285" s="8"/>
      <c r="G285" s="8"/>
      <c r="H285" s="7">
        <f>H284+H269+H255+H242+H230+H218+H206+H194+H182+H171+H161+H152</f>
        <v>542220</v>
      </c>
      <c r="I285" s="8"/>
      <c r="J285" s="8">
        <f>J284+J269+J255+J242+J230+J218+J206+J194+J182+J171+J161+J152</f>
        <v>9217.74</v>
      </c>
      <c r="K285" s="8">
        <f>K284+K269+K255+K242+K230+K218+K206+K194+K182+K171+K161+K152</f>
        <v>89</v>
      </c>
      <c r="L285" s="8"/>
      <c r="M285" s="8">
        <f>M284+M269+M255+M242+M230+M218+M206+M194+M182+M171+M161+M152</f>
        <v>178</v>
      </c>
      <c r="N285" s="8">
        <f>N284+N269+N255+N242+N230+N218+N206+N194+N182+N171+N161+N152</f>
        <v>1</v>
      </c>
      <c r="O285" s="8"/>
      <c r="P285" s="8"/>
      <c r="Q285" s="8">
        <f>Q284+Q269+Q255+Q242+Q230+Q218+Q206+Q194+Q182+Q171+Q161+Q152</f>
        <v>20</v>
      </c>
      <c r="R285" s="8">
        <f>R284+R269+R255+R242+R230+R218+R206+R194+R182+R171+R161+R152</f>
        <v>9415.74</v>
      </c>
      <c r="S285" s="12"/>
    </row>
    <row r="286" spans="1:19" ht="12.75">
      <c r="A286" s="360" t="s">
        <v>0</v>
      </c>
      <c r="B286" s="360" t="s">
        <v>1</v>
      </c>
      <c r="C286" s="360" t="s">
        <v>84</v>
      </c>
      <c r="D286" s="360"/>
      <c r="E286" s="360"/>
      <c r="F286" s="360"/>
      <c r="G286" s="360"/>
      <c r="H286" s="360"/>
      <c r="I286" s="360"/>
      <c r="J286" s="360"/>
      <c r="K286" s="360" t="s">
        <v>148</v>
      </c>
      <c r="L286" s="360"/>
      <c r="M286" s="360"/>
      <c r="N286" s="360" t="s">
        <v>85</v>
      </c>
      <c r="O286" s="360"/>
      <c r="P286" s="360"/>
      <c r="Q286" s="360"/>
      <c r="R286" s="363" t="s">
        <v>182</v>
      </c>
      <c r="S286" s="12"/>
    </row>
    <row r="287" spans="1:19" ht="63.75">
      <c r="A287" s="360"/>
      <c r="B287" s="360"/>
      <c r="C287" s="15" t="s">
        <v>86</v>
      </c>
      <c r="D287" s="15" t="s">
        <v>87</v>
      </c>
      <c r="E287" s="15" t="s">
        <v>88</v>
      </c>
      <c r="F287" s="15" t="s">
        <v>89</v>
      </c>
      <c r="G287" s="15" t="s">
        <v>90</v>
      </c>
      <c r="H287" s="15" t="s">
        <v>91</v>
      </c>
      <c r="I287" s="144" t="s">
        <v>180</v>
      </c>
      <c r="J287" s="144" t="s">
        <v>181</v>
      </c>
      <c r="K287" s="15" t="s">
        <v>92</v>
      </c>
      <c r="L287" s="144" t="s">
        <v>179</v>
      </c>
      <c r="M287" s="144" t="s">
        <v>181</v>
      </c>
      <c r="N287" s="15" t="s">
        <v>92</v>
      </c>
      <c r="O287" s="15" t="s">
        <v>93</v>
      </c>
      <c r="P287" s="144" t="s">
        <v>94</v>
      </c>
      <c r="Q287" s="144" t="s">
        <v>181</v>
      </c>
      <c r="R287" s="360"/>
      <c r="S287" s="12"/>
    </row>
    <row r="288" spans="1:18" ht="12.75">
      <c r="A288" s="9">
        <v>4</v>
      </c>
      <c r="B288" s="2">
        <v>1</v>
      </c>
      <c r="C288" s="2">
        <v>1</v>
      </c>
      <c r="D288" s="2">
        <v>1</v>
      </c>
      <c r="E288" s="2">
        <v>12</v>
      </c>
      <c r="F288" s="2">
        <f>E288*30</f>
        <v>360</v>
      </c>
      <c r="G288" s="2">
        <v>3</v>
      </c>
      <c r="H288" s="2">
        <f>G288*F288</f>
        <v>1080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2.75">
      <c r="A289" s="9"/>
      <c r="B289" s="2"/>
      <c r="C289" s="2">
        <v>1</v>
      </c>
      <c r="D289" s="2">
        <v>2</v>
      </c>
      <c r="E289" s="2">
        <v>18</v>
      </c>
      <c r="F289" s="2">
        <f aca="true" t="shared" si="48" ref="F289:F302">E289*30</f>
        <v>540</v>
      </c>
      <c r="G289" s="2">
        <v>3</v>
      </c>
      <c r="H289" s="2">
        <f aca="true" t="shared" si="49" ref="H289:H302">G289*F289</f>
        <v>1620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9"/>
      <c r="B290" s="2"/>
      <c r="C290" s="2">
        <v>1</v>
      </c>
      <c r="D290" s="2">
        <v>3</v>
      </c>
      <c r="E290" s="2">
        <v>18</v>
      </c>
      <c r="F290" s="2">
        <f t="shared" si="48"/>
        <v>540</v>
      </c>
      <c r="G290" s="2">
        <v>3</v>
      </c>
      <c r="H290" s="2">
        <f t="shared" si="49"/>
        <v>1620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2.75">
      <c r="A291" s="9"/>
      <c r="B291" s="2"/>
      <c r="C291" s="2">
        <v>1</v>
      </c>
      <c r="D291" s="2">
        <v>4</v>
      </c>
      <c r="E291" s="2">
        <v>17</v>
      </c>
      <c r="F291" s="2">
        <f t="shared" si="48"/>
        <v>510</v>
      </c>
      <c r="G291" s="2">
        <v>3</v>
      </c>
      <c r="H291" s="2">
        <f t="shared" si="49"/>
        <v>1530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2.75">
      <c r="A292" s="9"/>
      <c r="B292" s="2"/>
      <c r="C292" s="2">
        <v>3</v>
      </c>
      <c r="D292" s="2">
        <v>1</v>
      </c>
      <c r="E292" s="2">
        <v>15</v>
      </c>
      <c r="F292" s="2">
        <f t="shared" si="48"/>
        <v>450</v>
      </c>
      <c r="G292" s="2">
        <v>10</v>
      </c>
      <c r="H292" s="2">
        <f t="shared" si="49"/>
        <v>4500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2.75">
      <c r="A293" s="9"/>
      <c r="B293" s="2"/>
      <c r="C293" s="2">
        <v>3</v>
      </c>
      <c r="D293" s="2">
        <v>2</v>
      </c>
      <c r="E293" s="2">
        <v>21</v>
      </c>
      <c r="F293" s="2">
        <f t="shared" si="48"/>
        <v>630</v>
      </c>
      <c r="G293" s="2">
        <v>10</v>
      </c>
      <c r="H293" s="2">
        <f t="shared" si="49"/>
        <v>6300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2.75">
      <c r="A294" s="9"/>
      <c r="B294" s="2"/>
      <c r="C294" s="2">
        <v>3</v>
      </c>
      <c r="D294" s="2">
        <v>3</v>
      </c>
      <c r="E294" s="2">
        <v>21</v>
      </c>
      <c r="F294" s="2">
        <f t="shared" si="48"/>
        <v>630</v>
      </c>
      <c r="G294" s="2">
        <v>10</v>
      </c>
      <c r="H294" s="2">
        <f t="shared" si="49"/>
        <v>6300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2.75">
      <c r="A295" s="9"/>
      <c r="B295" s="2"/>
      <c r="C295" s="2">
        <v>3</v>
      </c>
      <c r="D295" s="2">
        <v>4</v>
      </c>
      <c r="E295" s="2">
        <v>19</v>
      </c>
      <c r="F295" s="2">
        <f t="shared" si="48"/>
        <v>570</v>
      </c>
      <c r="G295" s="2">
        <v>10</v>
      </c>
      <c r="H295" s="2">
        <f t="shared" si="49"/>
        <v>5700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2.75">
      <c r="A296" s="9"/>
      <c r="B296" s="2"/>
      <c r="C296" s="2">
        <v>3</v>
      </c>
      <c r="D296" s="2">
        <v>5</v>
      </c>
      <c r="E296" s="2">
        <v>18</v>
      </c>
      <c r="F296" s="2">
        <f t="shared" si="48"/>
        <v>540</v>
      </c>
      <c r="G296" s="2">
        <v>10</v>
      </c>
      <c r="H296" s="2">
        <f t="shared" si="49"/>
        <v>5400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2.75">
      <c r="A297" s="9"/>
      <c r="B297" s="2"/>
      <c r="C297" s="2">
        <v>3</v>
      </c>
      <c r="D297" s="2">
        <v>6</v>
      </c>
      <c r="E297" s="2">
        <v>17</v>
      </c>
      <c r="F297" s="2">
        <f t="shared" si="48"/>
        <v>510</v>
      </c>
      <c r="G297" s="2">
        <v>10</v>
      </c>
      <c r="H297" s="2">
        <f t="shared" si="49"/>
        <v>5100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2.75">
      <c r="A298" s="9"/>
      <c r="B298" s="2"/>
      <c r="C298" s="2">
        <v>2</v>
      </c>
      <c r="D298" s="2">
        <v>7</v>
      </c>
      <c r="E298" s="2">
        <v>16</v>
      </c>
      <c r="F298" s="2">
        <f t="shared" si="48"/>
        <v>480</v>
      </c>
      <c r="G298" s="2">
        <v>0</v>
      </c>
      <c r="H298" s="2">
        <f t="shared" si="49"/>
        <v>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2.75">
      <c r="A299" s="9"/>
      <c r="B299" s="2"/>
      <c r="C299" s="2">
        <v>2</v>
      </c>
      <c r="D299" s="2">
        <v>8</v>
      </c>
      <c r="E299" s="2">
        <v>14</v>
      </c>
      <c r="F299" s="2">
        <f t="shared" si="48"/>
        <v>420</v>
      </c>
      <c r="G299" s="2">
        <v>0</v>
      </c>
      <c r="H299" s="2">
        <f t="shared" si="49"/>
        <v>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2.75">
      <c r="A300" s="9"/>
      <c r="B300" s="2"/>
      <c r="C300" s="2">
        <v>2</v>
      </c>
      <c r="D300" s="2">
        <v>9</v>
      </c>
      <c r="E300" s="2">
        <v>13</v>
      </c>
      <c r="F300" s="2">
        <f t="shared" si="48"/>
        <v>390</v>
      </c>
      <c r="G300" s="2">
        <v>0</v>
      </c>
      <c r="H300" s="2">
        <f t="shared" si="49"/>
        <v>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2.75">
      <c r="A301" s="9"/>
      <c r="B301" s="2"/>
      <c r="C301" s="2">
        <v>2</v>
      </c>
      <c r="D301" s="2">
        <v>10</v>
      </c>
      <c r="E301" s="2">
        <v>12</v>
      </c>
      <c r="F301" s="2">
        <f t="shared" si="48"/>
        <v>360</v>
      </c>
      <c r="G301" s="2">
        <v>24</v>
      </c>
      <c r="H301" s="2">
        <f t="shared" si="49"/>
        <v>8640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2.75">
      <c r="A302" s="9"/>
      <c r="B302" s="2"/>
      <c r="C302" s="2">
        <v>2</v>
      </c>
      <c r="D302" s="2" t="s">
        <v>105</v>
      </c>
      <c r="E302" s="2"/>
      <c r="F302" s="2">
        <f t="shared" si="48"/>
        <v>0</v>
      </c>
      <c r="G302" s="2">
        <v>20</v>
      </c>
      <c r="H302" s="2">
        <f t="shared" si="49"/>
        <v>0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2.75">
      <c r="A303" s="9"/>
      <c r="B303" s="332" t="s">
        <v>99</v>
      </c>
      <c r="C303" s="333"/>
      <c r="D303" s="4"/>
      <c r="E303" s="4"/>
      <c r="F303" s="4"/>
      <c r="G303" s="4">
        <f>SUM(G288:G302)</f>
        <v>116</v>
      </c>
      <c r="H303" s="4">
        <f>SUM(H288:H302)</f>
        <v>47790</v>
      </c>
      <c r="I303" s="4">
        <v>17</v>
      </c>
      <c r="J303" s="4">
        <f>I303*H303/1000</f>
        <v>812.43</v>
      </c>
      <c r="K303" s="4">
        <v>11</v>
      </c>
      <c r="L303" s="4">
        <v>2000</v>
      </c>
      <c r="M303" s="4">
        <f>L303*K303/1000</f>
        <v>22</v>
      </c>
      <c r="N303" s="4">
        <v>3</v>
      </c>
      <c r="O303" s="4">
        <v>500</v>
      </c>
      <c r="P303" s="4">
        <v>40</v>
      </c>
      <c r="Q303" s="4">
        <f>P303*O303*N303/1000</f>
        <v>60</v>
      </c>
      <c r="R303" s="4">
        <f>J303+M303+Q303</f>
        <v>894.43</v>
      </c>
    </row>
    <row r="304" spans="1:18" ht="12.75">
      <c r="A304" s="9"/>
      <c r="B304" s="2">
        <v>2</v>
      </c>
      <c r="C304" s="2">
        <v>1</v>
      </c>
      <c r="D304" s="2">
        <v>1</v>
      </c>
      <c r="E304" s="2">
        <v>12</v>
      </c>
      <c r="F304" s="2">
        <f>E304*30</f>
        <v>360</v>
      </c>
      <c r="G304" s="2">
        <v>3</v>
      </c>
      <c r="H304" s="2">
        <f>G304*F304</f>
        <v>1080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2.75">
      <c r="A305" s="9"/>
      <c r="B305" s="2"/>
      <c r="C305" s="2">
        <v>1</v>
      </c>
      <c r="D305" s="2">
        <v>2</v>
      </c>
      <c r="E305" s="2">
        <v>18</v>
      </c>
      <c r="F305" s="2">
        <f aca="true" t="shared" si="50" ref="F305:F319">E305*30</f>
        <v>540</v>
      </c>
      <c r="G305" s="2">
        <v>3</v>
      </c>
      <c r="H305" s="2">
        <f aca="true" t="shared" si="51" ref="H305:H319">G305*F305</f>
        <v>1620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2.75">
      <c r="A306" s="9"/>
      <c r="B306" s="2"/>
      <c r="C306" s="2">
        <v>1</v>
      </c>
      <c r="D306" s="2">
        <v>3</v>
      </c>
      <c r="E306" s="2">
        <v>18</v>
      </c>
      <c r="F306" s="2">
        <f t="shared" si="50"/>
        <v>540</v>
      </c>
      <c r="G306" s="2">
        <v>3</v>
      </c>
      <c r="H306" s="2">
        <f t="shared" si="51"/>
        <v>1620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2.75">
      <c r="A307" s="9"/>
      <c r="B307" s="2"/>
      <c r="C307" s="2">
        <v>1</v>
      </c>
      <c r="D307" s="2">
        <v>4</v>
      </c>
      <c r="E307" s="2">
        <v>17</v>
      </c>
      <c r="F307" s="2">
        <f t="shared" si="50"/>
        <v>510</v>
      </c>
      <c r="G307" s="2">
        <v>3</v>
      </c>
      <c r="H307" s="2">
        <f t="shared" si="51"/>
        <v>1530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2.75">
      <c r="A308" s="9"/>
      <c r="B308" s="2"/>
      <c r="C308" s="2">
        <v>1</v>
      </c>
      <c r="D308" s="2">
        <v>5</v>
      </c>
      <c r="E308" s="2">
        <v>16</v>
      </c>
      <c r="F308" s="2">
        <f t="shared" si="50"/>
        <v>480</v>
      </c>
      <c r="G308" s="2">
        <v>3</v>
      </c>
      <c r="H308" s="2">
        <f t="shared" si="51"/>
        <v>1440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2.75">
      <c r="A309" s="9"/>
      <c r="B309" s="2"/>
      <c r="C309" s="2">
        <v>3</v>
      </c>
      <c r="D309" s="2">
        <v>1</v>
      </c>
      <c r="E309" s="2">
        <v>15</v>
      </c>
      <c r="F309" s="2">
        <f t="shared" si="50"/>
        <v>450</v>
      </c>
      <c r="G309" s="2">
        <v>10</v>
      </c>
      <c r="H309" s="2">
        <f t="shared" si="51"/>
        <v>4500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2.75">
      <c r="A310" s="9"/>
      <c r="B310" s="2"/>
      <c r="C310" s="2">
        <v>3</v>
      </c>
      <c r="D310" s="2">
        <v>2</v>
      </c>
      <c r="E310" s="2">
        <v>21</v>
      </c>
      <c r="F310" s="2">
        <f t="shared" si="50"/>
        <v>630</v>
      </c>
      <c r="G310" s="2">
        <v>10</v>
      </c>
      <c r="H310" s="2">
        <f t="shared" si="51"/>
        <v>6300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2.75">
      <c r="A311" s="9"/>
      <c r="B311" s="2"/>
      <c r="C311" s="2">
        <v>3</v>
      </c>
      <c r="D311" s="2">
        <v>3</v>
      </c>
      <c r="E311" s="2">
        <v>21</v>
      </c>
      <c r="F311" s="2">
        <f t="shared" si="50"/>
        <v>630</v>
      </c>
      <c r="G311" s="2">
        <v>10</v>
      </c>
      <c r="H311" s="2">
        <f t="shared" si="51"/>
        <v>6300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2.75">
      <c r="A312" s="9"/>
      <c r="B312" s="2"/>
      <c r="C312" s="2">
        <v>3</v>
      </c>
      <c r="D312" s="2">
        <v>4</v>
      </c>
      <c r="E312" s="2">
        <v>19</v>
      </c>
      <c r="F312" s="2">
        <f t="shared" si="50"/>
        <v>570</v>
      </c>
      <c r="G312" s="2">
        <v>10</v>
      </c>
      <c r="H312" s="2">
        <f t="shared" si="51"/>
        <v>5700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2.75">
      <c r="A313" s="9"/>
      <c r="B313" s="2"/>
      <c r="C313" s="2">
        <v>3</v>
      </c>
      <c r="D313" s="2">
        <v>5</v>
      </c>
      <c r="E313" s="2">
        <v>18</v>
      </c>
      <c r="F313" s="2">
        <f t="shared" si="50"/>
        <v>540</v>
      </c>
      <c r="G313" s="2">
        <v>10</v>
      </c>
      <c r="H313" s="2">
        <f t="shared" si="51"/>
        <v>5400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2.75">
      <c r="A314" s="9"/>
      <c r="B314" s="2"/>
      <c r="C314" s="2">
        <v>3</v>
      </c>
      <c r="D314" s="2">
        <v>6</v>
      </c>
      <c r="E314" s="2">
        <v>17</v>
      </c>
      <c r="F314" s="2">
        <f t="shared" si="50"/>
        <v>510</v>
      </c>
      <c r="G314" s="2">
        <v>10</v>
      </c>
      <c r="H314" s="2">
        <f t="shared" si="51"/>
        <v>5100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2.75">
      <c r="A315" s="9"/>
      <c r="B315" s="2"/>
      <c r="C315" s="2">
        <v>3</v>
      </c>
      <c r="D315" s="2">
        <v>7</v>
      </c>
      <c r="E315" s="2">
        <v>16</v>
      </c>
      <c r="F315" s="2">
        <f t="shared" si="50"/>
        <v>480</v>
      </c>
      <c r="G315" s="2">
        <v>10</v>
      </c>
      <c r="H315" s="2">
        <f t="shared" si="51"/>
        <v>4800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2.75">
      <c r="A316" s="9"/>
      <c r="B316" s="2"/>
      <c r="C316" s="2">
        <v>2</v>
      </c>
      <c r="D316" s="2">
        <v>8</v>
      </c>
      <c r="E316" s="2">
        <v>14</v>
      </c>
      <c r="F316" s="2">
        <f t="shared" si="50"/>
        <v>420</v>
      </c>
      <c r="G316" s="2">
        <v>0</v>
      </c>
      <c r="H316" s="2">
        <f t="shared" si="51"/>
        <v>0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2.75">
      <c r="A317" s="9"/>
      <c r="B317" s="2"/>
      <c r="C317" s="2">
        <v>2</v>
      </c>
      <c r="D317" s="2">
        <v>9</v>
      </c>
      <c r="E317" s="2">
        <v>13</v>
      </c>
      <c r="F317" s="2">
        <f t="shared" si="50"/>
        <v>390</v>
      </c>
      <c r="G317" s="2">
        <v>0</v>
      </c>
      <c r="H317" s="2">
        <f t="shared" si="51"/>
        <v>0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2.75">
      <c r="A318" s="9"/>
      <c r="B318" s="2"/>
      <c r="C318" s="2">
        <v>2</v>
      </c>
      <c r="D318" s="2">
        <v>10</v>
      </c>
      <c r="E318" s="2">
        <v>12</v>
      </c>
      <c r="F318" s="2">
        <f t="shared" si="50"/>
        <v>360</v>
      </c>
      <c r="G318" s="2">
        <v>11</v>
      </c>
      <c r="H318" s="2">
        <f t="shared" si="51"/>
        <v>3960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2.75">
      <c r="A319" s="9"/>
      <c r="B319" s="2"/>
      <c r="C319" s="2">
        <v>2</v>
      </c>
      <c r="D319" s="2" t="s">
        <v>105</v>
      </c>
      <c r="E319" s="2"/>
      <c r="F319" s="2">
        <f t="shared" si="50"/>
        <v>0</v>
      </c>
      <c r="G319" s="2">
        <v>20</v>
      </c>
      <c r="H319" s="2">
        <f t="shared" si="51"/>
        <v>0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2.75">
      <c r="A320" s="9"/>
      <c r="B320" s="332" t="s">
        <v>100</v>
      </c>
      <c r="C320" s="333"/>
      <c r="D320" s="4"/>
      <c r="E320" s="4"/>
      <c r="F320" s="4"/>
      <c r="G320" s="4">
        <f>SUM(G304:G319)</f>
        <v>116</v>
      </c>
      <c r="H320" s="4">
        <f>SUM(H304:H319)</f>
        <v>49350</v>
      </c>
      <c r="I320" s="4">
        <v>17</v>
      </c>
      <c r="J320" s="4">
        <f>I320*H320/1000</f>
        <v>838.95</v>
      </c>
      <c r="K320" s="4">
        <v>11</v>
      </c>
      <c r="L320" s="4">
        <v>2000</v>
      </c>
      <c r="M320" s="4">
        <f>L320*K320/1000</f>
        <v>22</v>
      </c>
      <c r="N320" s="4">
        <v>3</v>
      </c>
      <c r="O320" s="4">
        <v>500</v>
      </c>
      <c r="P320" s="4">
        <v>40</v>
      </c>
      <c r="Q320" s="4">
        <f>P320*O320*N320/1000</f>
        <v>60</v>
      </c>
      <c r="R320" s="4">
        <f>J320+M320+Q320</f>
        <v>920.95</v>
      </c>
    </row>
    <row r="321" spans="1:18" ht="12.75">
      <c r="A321" s="9"/>
      <c r="B321" s="2">
        <v>3</v>
      </c>
      <c r="C321" s="2">
        <v>1</v>
      </c>
      <c r="D321" s="2">
        <v>1</v>
      </c>
      <c r="E321" s="2">
        <v>12</v>
      </c>
      <c r="F321" s="2">
        <f>E321*30</f>
        <v>360</v>
      </c>
      <c r="G321" s="2">
        <v>3</v>
      </c>
      <c r="H321" s="2">
        <f>G321*F321</f>
        <v>1080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2.75">
      <c r="A322" s="9"/>
      <c r="B322" s="2"/>
      <c r="C322" s="2">
        <v>1</v>
      </c>
      <c r="D322" s="2">
        <v>2</v>
      </c>
      <c r="E322" s="2">
        <v>18</v>
      </c>
      <c r="F322" s="2">
        <f aca="true" t="shared" si="52" ref="F322:F337">E322*30</f>
        <v>540</v>
      </c>
      <c r="G322" s="2">
        <v>3</v>
      </c>
      <c r="H322" s="2">
        <f aca="true" t="shared" si="53" ref="H322:H337">G322*F322</f>
        <v>1620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2.75">
      <c r="A323" s="9"/>
      <c r="B323" s="2"/>
      <c r="C323" s="2">
        <v>1</v>
      </c>
      <c r="D323" s="2">
        <v>3</v>
      </c>
      <c r="E323" s="2">
        <v>18</v>
      </c>
      <c r="F323" s="2">
        <f t="shared" si="52"/>
        <v>540</v>
      </c>
      <c r="G323" s="2">
        <v>3</v>
      </c>
      <c r="H323" s="2">
        <f t="shared" si="53"/>
        <v>1620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2.75">
      <c r="A324" s="9"/>
      <c r="B324" s="2"/>
      <c r="C324" s="2">
        <v>1</v>
      </c>
      <c r="D324" s="2">
        <v>4</v>
      </c>
      <c r="E324" s="2">
        <v>17</v>
      </c>
      <c r="F324" s="2">
        <f t="shared" si="52"/>
        <v>510</v>
      </c>
      <c r="G324" s="2">
        <v>3</v>
      </c>
      <c r="H324" s="2">
        <f t="shared" si="53"/>
        <v>1530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2.75">
      <c r="A325" s="9"/>
      <c r="B325" s="2"/>
      <c r="C325" s="2">
        <v>1</v>
      </c>
      <c r="D325" s="2">
        <v>5</v>
      </c>
      <c r="E325" s="2">
        <v>16</v>
      </c>
      <c r="F325" s="2">
        <f t="shared" si="52"/>
        <v>480</v>
      </c>
      <c r="G325" s="2">
        <v>3</v>
      </c>
      <c r="H325" s="2">
        <f t="shared" si="53"/>
        <v>1440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2.75">
      <c r="A326" s="9"/>
      <c r="B326" s="2"/>
      <c r="C326" s="2">
        <v>1</v>
      </c>
      <c r="D326" s="2">
        <v>6</v>
      </c>
      <c r="E326" s="2">
        <v>15</v>
      </c>
      <c r="F326" s="2">
        <f t="shared" si="52"/>
        <v>450</v>
      </c>
      <c r="G326" s="2">
        <v>3</v>
      </c>
      <c r="H326" s="2">
        <f t="shared" si="53"/>
        <v>1350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2.75">
      <c r="A327" s="9"/>
      <c r="B327" s="2"/>
      <c r="C327" s="2">
        <v>3</v>
      </c>
      <c r="D327" s="2">
        <v>1</v>
      </c>
      <c r="E327" s="2">
        <v>15</v>
      </c>
      <c r="F327" s="2">
        <f t="shared" si="52"/>
        <v>450</v>
      </c>
      <c r="G327" s="2">
        <v>10</v>
      </c>
      <c r="H327" s="2">
        <f t="shared" si="53"/>
        <v>4500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2.75">
      <c r="A328" s="9"/>
      <c r="B328" s="2"/>
      <c r="C328" s="2">
        <v>3</v>
      </c>
      <c r="D328" s="2">
        <v>2</v>
      </c>
      <c r="E328" s="2">
        <v>21</v>
      </c>
      <c r="F328" s="2">
        <f t="shared" si="52"/>
        <v>630</v>
      </c>
      <c r="G328" s="2">
        <v>10</v>
      </c>
      <c r="H328" s="2">
        <f t="shared" si="53"/>
        <v>6300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2.75">
      <c r="A329" s="9"/>
      <c r="B329" s="2"/>
      <c r="C329" s="2">
        <v>3</v>
      </c>
      <c r="D329" s="2">
        <v>3</v>
      </c>
      <c r="E329" s="2">
        <v>21</v>
      </c>
      <c r="F329" s="2">
        <f t="shared" si="52"/>
        <v>630</v>
      </c>
      <c r="G329" s="2">
        <v>10</v>
      </c>
      <c r="H329" s="2">
        <f t="shared" si="53"/>
        <v>6300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2.75">
      <c r="A330" s="9"/>
      <c r="B330" s="2"/>
      <c r="C330" s="2">
        <v>3</v>
      </c>
      <c r="D330" s="2">
        <v>4</v>
      </c>
      <c r="E330" s="2">
        <v>19</v>
      </c>
      <c r="F330" s="2">
        <f t="shared" si="52"/>
        <v>570</v>
      </c>
      <c r="G330" s="2">
        <v>10</v>
      </c>
      <c r="H330" s="2">
        <f t="shared" si="53"/>
        <v>5700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2.75">
      <c r="A331" s="9"/>
      <c r="B331" s="2"/>
      <c r="C331" s="2">
        <v>3</v>
      </c>
      <c r="D331" s="2">
        <v>5</v>
      </c>
      <c r="E331" s="2">
        <v>18</v>
      </c>
      <c r="F331" s="2">
        <f t="shared" si="52"/>
        <v>540</v>
      </c>
      <c r="G331" s="2">
        <v>10</v>
      </c>
      <c r="H331" s="2">
        <f t="shared" si="53"/>
        <v>5400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2.75">
      <c r="A332" s="9"/>
      <c r="B332" s="2"/>
      <c r="C332" s="2">
        <v>3</v>
      </c>
      <c r="D332" s="2">
        <v>6</v>
      </c>
      <c r="E332" s="2">
        <v>17</v>
      </c>
      <c r="F332" s="2">
        <f t="shared" si="52"/>
        <v>510</v>
      </c>
      <c r="G332" s="2">
        <v>10</v>
      </c>
      <c r="H332" s="2">
        <f t="shared" si="53"/>
        <v>5100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2.75">
      <c r="A333" s="9"/>
      <c r="B333" s="2"/>
      <c r="C333" s="2">
        <v>3</v>
      </c>
      <c r="D333" s="2">
        <v>7</v>
      </c>
      <c r="E333" s="2">
        <v>16</v>
      </c>
      <c r="F333" s="2">
        <f t="shared" si="52"/>
        <v>480</v>
      </c>
      <c r="G333" s="2">
        <v>10</v>
      </c>
      <c r="H333" s="2">
        <f t="shared" si="53"/>
        <v>4800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2.75">
      <c r="A334" s="9"/>
      <c r="B334" s="2"/>
      <c r="C334" s="2">
        <v>3</v>
      </c>
      <c r="D334" s="2">
        <v>8</v>
      </c>
      <c r="E334" s="2">
        <v>15</v>
      </c>
      <c r="F334" s="2">
        <f t="shared" si="52"/>
        <v>450</v>
      </c>
      <c r="G334" s="2">
        <v>10</v>
      </c>
      <c r="H334" s="2">
        <f t="shared" si="53"/>
        <v>4500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2.75">
      <c r="A335" s="9"/>
      <c r="B335" s="2"/>
      <c r="C335" s="2">
        <v>2</v>
      </c>
      <c r="D335" s="2">
        <v>9</v>
      </c>
      <c r="E335" s="2">
        <v>13</v>
      </c>
      <c r="F335" s="2">
        <f t="shared" si="52"/>
        <v>390</v>
      </c>
      <c r="G335" s="2">
        <v>0</v>
      </c>
      <c r="H335" s="2">
        <f t="shared" si="53"/>
        <v>0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2.75">
      <c r="A336" s="9"/>
      <c r="B336" s="2"/>
      <c r="C336" s="2">
        <v>2</v>
      </c>
      <c r="D336" s="2">
        <v>10</v>
      </c>
      <c r="E336" s="2">
        <v>12</v>
      </c>
      <c r="F336" s="2">
        <f t="shared" si="52"/>
        <v>360</v>
      </c>
      <c r="G336" s="2">
        <v>0</v>
      </c>
      <c r="H336" s="2">
        <f t="shared" si="53"/>
        <v>0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2.75">
      <c r="A337" s="9"/>
      <c r="B337" s="2"/>
      <c r="C337" s="2">
        <v>2</v>
      </c>
      <c r="D337" s="2" t="s">
        <v>105</v>
      </c>
      <c r="E337" s="2"/>
      <c r="F337" s="2">
        <f t="shared" si="52"/>
        <v>0</v>
      </c>
      <c r="G337" s="2">
        <v>20</v>
      </c>
      <c r="H337" s="2">
        <f t="shared" si="53"/>
        <v>0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2.75">
      <c r="A338" s="9"/>
      <c r="B338" s="332" t="s">
        <v>101</v>
      </c>
      <c r="C338" s="333"/>
      <c r="D338" s="4"/>
      <c r="E338" s="4"/>
      <c r="F338" s="4"/>
      <c r="G338" s="4">
        <f>SUM(G321:G337)</f>
        <v>118</v>
      </c>
      <c r="H338" s="4">
        <f>SUM(H321:H337)</f>
        <v>51240</v>
      </c>
      <c r="I338" s="4">
        <v>17</v>
      </c>
      <c r="J338" s="4">
        <f>I338*H338/1000</f>
        <v>871.08</v>
      </c>
      <c r="K338" s="4">
        <v>11</v>
      </c>
      <c r="L338" s="4">
        <v>2000</v>
      </c>
      <c r="M338" s="4">
        <f>L338*K338/1000</f>
        <v>22</v>
      </c>
      <c r="N338" s="4">
        <v>3</v>
      </c>
      <c r="O338" s="4">
        <v>500</v>
      </c>
      <c r="P338" s="4">
        <v>40</v>
      </c>
      <c r="Q338" s="4">
        <f>P338*O338*N338/1000</f>
        <v>60</v>
      </c>
      <c r="R338" s="4">
        <f>J338+M338+Q338</f>
        <v>953.08</v>
      </c>
    </row>
    <row r="339" spans="1:18" ht="12.75">
      <c r="A339" s="9"/>
      <c r="B339" s="2">
        <v>4</v>
      </c>
      <c r="C339" s="2">
        <v>1</v>
      </c>
      <c r="D339" s="2">
        <v>1</v>
      </c>
      <c r="E339" s="2">
        <v>12</v>
      </c>
      <c r="F339" s="2">
        <f>E339*30</f>
        <v>360</v>
      </c>
      <c r="G339" s="2">
        <v>0</v>
      </c>
      <c r="H339" s="2">
        <f>G339*F339</f>
        <v>0</v>
      </c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2.75">
      <c r="A340" s="9"/>
      <c r="B340" s="2"/>
      <c r="C340" s="2">
        <v>1</v>
      </c>
      <c r="D340" s="2">
        <v>2</v>
      </c>
      <c r="E340" s="2">
        <v>18</v>
      </c>
      <c r="F340" s="2">
        <f aca="true" t="shared" si="54" ref="F340:F355">E340*30</f>
        <v>540</v>
      </c>
      <c r="G340" s="2">
        <v>3</v>
      </c>
      <c r="H340" s="2">
        <f aca="true" t="shared" si="55" ref="H340:H355">G340*F340</f>
        <v>1620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2.75">
      <c r="A341" s="9"/>
      <c r="B341" s="2"/>
      <c r="C341" s="2">
        <v>1</v>
      </c>
      <c r="D341" s="2">
        <v>3</v>
      </c>
      <c r="E341" s="2">
        <v>18</v>
      </c>
      <c r="F341" s="2">
        <f t="shared" si="54"/>
        <v>540</v>
      </c>
      <c r="G341" s="2">
        <v>3</v>
      </c>
      <c r="H341" s="2">
        <f t="shared" si="55"/>
        <v>1620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2.75">
      <c r="A342" s="9"/>
      <c r="B342" s="2"/>
      <c r="C342" s="2">
        <v>1</v>
      </c>
      <c r="D342" s="2">
        <v>4</v>
      </c>
      <c r="E342" s="2">
        <v>17</v>
      </c>
      <c r="F342" s="2">
        <f t="shared" si="54"/>
        <v>510</v>
      </c>
      <c r="G342" s="2">
        <v>3</v>
      </c>
      <c r="H342" s="2">
        <f t="shared" si="55"/>
        <v>1530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2.75">
      <c r="A343" s="9"/>
      <c r="B343" s="2"/>
      <c r="C343" s="2">
        <v>1</v>
      </c>
      <c r="D343" s="2">
        <v>5</v>
      </c>
      <c r="E343" s="2">
        <v>16</v>
      </c>
      <c r="F343" s="2">
        <f t="shared" si="54"/>
        <v>480</v>
      </c>
      <c r="G343" s="2">
        <v>3</v>
      </c>
      <c r="H343" s="2">
        <f t="shared" si="55"/>
        <v>1440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2.75">
      <c r="A344" s="9"/>
      <c r="B344" s="2"/>
      <c r="C344" s="2">
        <v>1</v>
      </c>
      <c r="D344" s="2">
        <v>6</v>
      </c>
      <c r="E344" s="2">
        <v>15</v>
      </c>
      <c r="F344" s="2">
        <f t="shared" si="54"/>
        <v>450</v>
      </c>
      <c r="G344" s="2">
        <v>3</v>
      </c>
      <c r="H344" s="2">
        <f t="shared" si="55"/>
        <v>1350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2.75">
      <c r="A345" s="9"/>
      <c r="B345" s="2"/>
      <c r="C345" s="2">
        <v>1</v>
      </c>
      <c r="D345" s="2">
        <v>7</v>
      </c>
      <c r="E345" s="2">
        <v>14</v>
      </c>
      <c r="F345" s="2">
        <f t="shared" si="54"/>
        <v>420</v>
      </c>
      <c r="G345" s="2">
        <v>3</v>
      </c>
      <c r="H345" s="2">
        <f t="shared" si="55"/>
        <v>1260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2.75">
      <c r="A346" s="9"/>
      <c r="B346" s="2"/>
      <c r="C346" s="2">
        <v>3</v>
      </c>
      <c r="D346" s="2">
        <v>1</v>
      </c>
      <c r="E346" s="2">
        <v>15</v>
      </c>
      <c r="F346" s="2">
        <f t="shared" si="54"/>
        <v>450</v>
      </c>
      <c r="G346" s="2">
        <v>10</v>
      </c>
      <c r="H346" s="2">
        <f t="shared" si="55"/>
        <v>4500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2.75">
      <c r="A347" s="9"/>
      <c r="B347" s="2"/>
      <c r="C347" s="2">
        <v>3</v>
      </c>
      <c r="D347" s="2">
        <v>2</v>
      </c>
      <c r="E347" s="2">
        <v>21</v>
      </c>
      <c r="F347" s="2">
        <f t="shared" si="54"/>
        <v>630</v>
      </c>
      <c r="G347" s="2">
        <v>10</v>
      </c>
      <c r="H347" s="2">
        <f t="shared" si="55"/>
        <v>6300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2.75">
      <c r="A348" s="9"/>
      <c r="B348" s="2"/>
      <c r="C348" s="2">
        <v>3</v>
      </c>
      <c r="D348" s="2">
        <v>3</v>
      </c>
      <c r="E348" s="2">
        <v>21</v>
      </c>
      <c r="F348" s="2">
        <f t="shared" si="54"/>
        <v>630</v>
      </c>
      <c r="G348" s="2">
        <v>10</v>
      </c>
      <c r="H348" s="2">
        <f t="shared" si="55"/>
        <v>6300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2.75">
      <c r="A349" s="9"/>
      <c r="B349" s="2"/>
      <c r="C349" s="2">
        <v>3</v>
      </c>
      <c r="D349" s="2">
        <v>4</v>
      </c>
      <c r="E349" s="2">
        <v>19</v>
      </c>
      <c r="F349" s="2">
        <f t="shared" si="54"/>
        <v>570</v>
      </c>
      <c r="G349" s="2">
        <v>10</v>
      </c>
      <c r="H349" s="2">
        <f t="shared" si="55"/>
        <v>5700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2.75">
      <c r="A350" s="9"/>
      <c r="B350" s="2"/>
      <c r="C350" s="2">
        <v>3</v>
      </c>
      <c r="D350" s="2">
        <v>5</v>
      </c>
      <c r="E350" s="2">
        <v>18</v>
      </c>
      <c r="F350" s="2">
        <f t="shared" si="54"/>
        <v>540</v>
      </c>
      <c r="G350" s="2">
        <v>10</v>
      </c>
      <c r="H350" s="2">
        <f t="shared" si="55"/>
        <v>5400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2.75">
      <c r="A351" s="9"/>
      <c r="B351" s="2"/>
      <c r="C351" s="2">
        <v>3</v>
      </c>
      <c r="D351" s="2">
        <v>6</v>
      </c>
      <c r="E351" s="2">
        <v>17</v>
      </c>
      <c r="F351" s="2">
        <f t="shared" si="54"/>
        <v>510</v>
      </c>
      <c r="G351" s="2">
        <v>10</v>
      </c>
      <c r="H351" s="2">
        <f t="shared" si="55"/>
        <v>5100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2.75">
      <c r="A352" s="9"/>
      <c r="B352" s="2"/>
      <c r="C352" s="2">
        <v>3</v>
      </c>
      <c r="D352" s="2">
        <v>7</v>
      </c>
      <c r="E352" s="2">
        <v>16</v>
      </c>
      <c r="F352" s="2">
        <f t="shared" si="54"/>
        <v>480</v>
      </c>
      <c r="G352" s="2">
        <v>10</v>
      </c>
      <c r="H352" s="2">
        <f t="shared" si="55"/>
        <v>4800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2.75">
      <c r="A353" s="9"/>
      <c r="B353" s="2"/>
      <c r="C353" s="2">
        <v>3</v>
      </c>
      <c r="D353" s="2">
        <v>8</v>
      </c>
      <c r="E353" s="2">
        <v>15</v>
      </c>
      <c r="F353" s="2">
        <f t="shared" si="54"/>
        <v>450</v>
      </c>
      <c r="G353" s="2">
        <v>10</v>
      </c>
      <c r="H353" s="2">
        <f t="shared" si="55"/>
        <v>4500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2.75">
      <c r="A354" s="9"/>
      <c r="B354" s="2"/>
      <c r="C354" s="2">
        <v>3</v>
      </c>
      <c r="D354" s="2">
        <v>9</v>
      </c>
      <c r="E354" s="2">
        <v>14</v>
      </c>
      <c r="F354" s="2">
        <f t="shared" si="54"/>
        <v>420</v>
      </c>
      <c r="G354" s="2">
        <v>10</v>
      </c>
      <c r="H354" s="2">
        <f t="shared" si="55"/>
        <v>4200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2.75">
      <c r="A355" s="9"/>
      <c r="B355" s="2"/>
      <c r="C355" s="2">
        <v>2</v>
      </c>
      <c r="D355" s="2" t="s">
        <v>105</v>
      </c>
      <c r="E355" s="2"/>
      <c r="F355" s="2">
        <f t="shared" si="54"/>
        <v>0</v>
      </c>
      <c r="G355" s="2">
        <v>10</v>
      </c>
      <c r="H355" s="2">
        <f t="shared" si="55"/>
        <v>0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2.75">
      <c r="A356" s="9"/>
      <c r="B356" s="332" t="s">
        <v>102</v>
      </c>
      <c r="C356" s="333"/>
      <c r="D356" s="4"/>
      <c r="E356" s="4"/>
      <c r="F356" s="4"/>
      <c r="G356" s="4">
        <f>SUM(G339:G355)</f>
        <v>118</v>
      </c>
      <c r="H356" s="4">
        <f>SUM(H339:H355)</f>
        <v>55620</v>
      </c>
      <c r="I356" s="4">
        <v>17</v>
      </c>
      <c r="J356" s="4">
        <f>I356*H356/1000</f>
        <v>945.54</v>
      </c>
      <c r="K356" s="4">
        <v>8</v>
      </c>
      <c r="L356" s="4">
        <v>2000</v>
      </c>
      <c r="M356" s="4">
        <f>L356*K356/1000</f>
        <v>16</v>
      </c>
      <c r="N356" s="4">
        <v>0</v>
      </c>
      <c r="O356" s="4">
        <v>500</v>
      </c>
      <c r="P356" s="4">
        <v>40</v>
      </c>
      <c r="Q356" s="4">
        <f>P356*O356*N356/1000</f>
        <v>0</v>
      </c>
      <c r="R356" s="4">
        <f>J356+M356+Q356</f>
        <v>961.54</v>
      </c>
    </row>
    <row r="357" spans="1:18" ht="12.75">
      <c r="A357" s="9"/>
      <c r="B357" s="2">
        <v>5</v>
      </c>
      <c r="C357" s="2">
        <v>1</v>
      </c>
      <c r="D357" s="2">
        <v>1</v>
      </c>
      <c r="E357" s="2">
        <v>12</v>
      </c>
      <c r="F357" s="2">
        <f>E357*30</f>
        <v>360</v>
      </c>
      <c r="G357" s="2">
        <v>0</v>
      </c>
      <c r="H357" s="2">
        <f>G357*F357</f>
        <v>0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2.75">
      <c r="A358" s="9"/>
      <c r="B358" s="2"/>
      <c r="C358" s="2">
        <v>1</v>
      </c>
      <c r="D358" s="2">
        <v>2</v>
      </c>
      <c r="E358" s="2">
        <v>18</v>
      </c>
      <c r="F358" s="2">
        <f aca="true" t="shared" si="56" ref="F358:F375">E358*30</f>
        <v>540</v>
      </c>
      <c r="G358" s="2">
        <v>0</v>
      </c>
      <c r="H358" s="2">
        <f aca="true" t="shared" si="57" ref="H358:H375">G358*F358</f>
        <v>0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2.75">
      <c r="A359" s="9"/>
      <c r="B359" s="2"/>
      <c r="C359" s="2">
        <v>1</v>
      </c>
      <c r="D359" s="2">
        <v>3</v>
      </c>
      <c r="E359" s="2">
        <v>18</v>
      </c>
      <c r="F359" s="2">
        <f t="shared" si="56"/>
        <v>540</v>
      </c>
      <c r="G359" s="2">
        <v>3</v>
      </c>
      <c r="H359" s="2">
        <f t="shared" si="57"/>
        <v>1620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2.75">
      <c r="A360" s="9"/>
      <c r="B360" s="2"/>
      <c r="C360" s="2">
        <v>1</v>
      </c>
      <c r="D360" s="2">
        <v>4</v>
      </c>
      <c r="E360" s="2">
        <v>17</v>
      </c>
      <c r="F360" s="2">
        <f t="shared" si="56"/>
        <v>510</v>
      </c>
      <c r="G360" s="2">
        <v>3</v>
      </c>
      <c r="H360" s="2">
        <f t="shared" si="57"/>
        <v>1530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2.75">
      <c r="A361" s="9"/>
      <c r="B361" s="2"/>
      <c r="C361" s="2">
        <v>1</v>
      </c>
      <c r="D361" s="2">
        <v>5</v>
      </c>
      <c r="E361" s="2">
        <v>16</v>
      </c>
      <c r="F361" s="2">
        <f t="shared" si="56"/>
        <v>480</v>
      </c>
      <c r="G361" s="2">
        <v>3</v>
      </c>
      <c r="H361" s="2">
        <f t="shared" si="57"/>
        <v>1440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2.75">
      <c r="A362" s="9"/>
      <c r="B362" s="2"/>
      <c r="C362" s="2">
        <v>1</v>
      </c>
      <c r="D362" s="2">
        <v>6</v>
      </c>
      <c r="E362" s="2">
        <v>15</v>
      </c>
      <c r="F362" s="2">
        <f t="shared" si="56"/>
        <v>450</v>
      </c>
      <c r="G362" s="2">
        <v>3</v>
      </c>
      <c r="H362" s="2">
        <f t="shared" si="57"/>
        <v>1350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2.75">
      <c r="A363" s="9"/>
      <c r="B363" s="2"/>
      <c r="C363" s="2">
        <v>1</v>
      </c>
      <c r="D363" s="2">
        <v>7</v>
      </c>
      <c r="E363" s="2">
        <v>14</v>
      </c>
      <c r="F363" s="2">
        <f t="shared" si="56"/>
        <v>420</v>
      </c>
      <c r="G363" s="2">
        <v>3</v>
      </c>
      <c r="H363" s="2">
        <f t="shared" si="57"/>
        <v>1260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2.75">
      <c r="A364" s="9"/>
      <c r="B364" s="2"/>
      <c r="C364" s="2">
        <v>1</v>
      </c>
      <c r="D364" s="2">
        <v>8</v>
      </c>
      <c r="E364" s="2">
        <v>13</v>
      </c>
      <c r="F364" s="2">
        <f t="shared" si="56"/>
        <v>390</v>
      </c>
      <c r="G364" s="2">
        <v>3</v>
      </c>
      <c r="H364" s="2">
        <f t="shared" si="57"/>
        <v>1170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2.75">
      <c r="A365" s="9"/>
      <c r="B365" s="2"/>
      <c r="C365" s="2">
        <v>3</v>
      </c>
      <c r="D365" s="2">
        <v>1</v>
      </c>
      <c r="E365" s="2">
        <v>15</v>
      </c>
      <c r="F365" s="2">
        <f t="shared" si="56"/>
        <v>450</v>
      </c>
      <c r="G365" s="2">
        <v>10</v>
      </c>
      <c r="H365" s="2">
        <f t="shared" si="57"/>
        <v>4500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2.75">
      <c r="A366" s="9"/>
      <c r="B366" s="2"/>
      <c r="C366" s="2">
        <v>3</v>
      </c>
      <c r="D366" s="2">
        <v>2</v>
      </c>
      <c r="E366" s="2">
        <v>21</v>
      </c>
      <c r="F366" s="2">
        <f t="shared" si="56"/>
        <v>630</v>
      </c>
      <c r="G366" s="2">
        <v>10</v>
      </c>
      <c r="H366" s="2">
        <f t="shared" si="57"/>
        <v>6300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2.75">
      <c r="A367" s="9"/>
      <c r="B367" s="2"/>
      <c r="C367" s="2">
        <v>3</v>
      </c>
      <c r="D367" s="2">
        <v>3</v>
      </c>
      <c r="E367" s="2">
        <v>21</v>
      </c>
      <c r="F367" s="2">
        <f t="shared" si="56"/>
        <v>630</v>
      </c>
      <c r="G367" s="2">
        <v>10</v>
      </c>
      <c r="H367" s="2">
        <f t="shared" si="57"/>
        <v>6300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2.75">
      <c r="A368" s="9"/>
      <c r="B368" s="2"/>
      <c r="C368" s="2">
        <v>3</v>
      </c>
      <c r="D368" s="2">
        <v>4</v>
      </c>
      <c r="E368" s="2">
        <v>19</v>
      </c>
      <c r="F368" s="2">
        <f t="shared" si="56"/>
        <v>570</v>
      </c>
      <c r="G368" s="2">
        <v>10</v>
      </c>
      <c r="H368" s="2">
        <f t="shared" si="57"/>
        <v>5700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2.75">
      <c r="A369" s="9"/>
      <c r="B369" s="2"/>
      <c r="C369" s="2">
        <v>3</v>
      </c>
      <c r="D369" s="2">
        <v>5</v>
      </c>
      <c r="E369" s="2">
        <v>18</v>
      </c>
      <c r="F369" s="2">
        <f t="shared" si="56"/>
        <v>540</v>
      </c>
      <c r="G369" s="2">
        <v>10</v>
      </c>
      <c r="H369" s="2">
        <f t="shared" si="57"/>
        <v>5400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2.75">
      <c r="A370" s="9"/>
      <c r="B370" s="2"/>
      <c r="C370" s="2">
        <v>3</v>
      </c>
      <c r="D370" s="2">
        <v>6</v>
      </c>
      <c r="E370" s="2">
        <v>17</v>
      </c>
      <c r="F370" s="2">
        <f t="shared" si="56"/>
        <v>510</v>
      </c>
      <c r="G370" s="2">
        <v>10</v>
      </c>
      <c r="H370" s="2">
        <f t="shared" si="57"/>
        <v>5100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2.75">
      <c r="A371" s="9"/>
      <c r="B371" s="2"/>
      <c r="C371" s="2">
        <v>3</v>
      </c>
      <c r="D371" s="2">
        <v>7</v>
      </c>
      <c r="E371" s="2">
        <v>16</v>
      </c>
      <c r="F371" s="2">
        <f t="shared" si="56"/>
        <v>480</v>
      </c>
      <c r="G371" s="2">
        <v>10</v>
      </c>
      <c r="H371" s="2">
        <f t="shared" si="57"/>
        <v>4800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2.75">
      <c r="A372" s="9"/>
      <c r="B372" s="2"/>
      <c r="C372" s="2">
        <v>3</v>
      </c>
      <c r="D372" s="2">
        <v>8</v>
      </c>
      <c r="E372" s="2">
        <v>15</v>
      </c>
      <c r="F372" s="2">
        <f t="shared" si="56"/>
        <v>450</v>
      </c>
      <c r="G372" s="2">
        <v>10</v>
      </c>
      <c r="H372" s="2">
        <f t="shared" si="57"/>
        <v>4500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2.75">
      <c r="A373" s="9"/>
      <c r="B373" s="2"/>
      <c r="C373" s="2">
        <v>3</v>
      </c>
      <c r="D373" s="2">
        <v>9</v>
      </c>
      <c r="E373" s="2">
        <v>14</v>
      </c>
      <c r="F373" s="2">
        <f t="shared" si="56"/>
        <v>420</v>
      </c>
      <c r="G373" s="2">
        <v>10</v>
      </c>
      <c r="H373" s="2">
        <f t="shared" si="57"/>
        <v>4200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2.75">
      <c r="A374" s="9"/>
      <c r="B374" s="2"/>
      <c r="C374" s="2">
        <v>3</v>
      </c>
      <c r="D374" s="2">
        <v>10</v>
      </c>
      <c r="E374" s="2">
        <v>13</v>
      </c>
      <c r="F374" s="2">
        <f t="shared" si="56"/>
        <v>390</v>
      </c>
      <c r="G374" s="2">
        <v>8</v>
      </c>
      <c r="H374" s="2">
        <f t="shared" si="57"/>
        <v>3120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2.75">
      <c r="A375" s="9"/>
      <c r="B375" s="2"/>
      <c r="C375" s="2">
        <v>2</v>
      </c>
      <c r="D375" s="2" t="s">
        <v>105</v>
      </c>
      <c r="E375" s="2"/>
      <c r="F375" s="2">
        <f t="shared" si="56"/>
        <v>0</v>
      </c>
      <c r="G375" s="2">
        <v>0</v>
      </c>
      <c r="H375" s="2">
        <f t="shared" si="57"/>
        <v>0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2.75">
      <c r="A376" s="9"/>
      <c r="B376" s="332" t="s">
        <v>103</v>
      </c>
      <c r="C376" s="333"/>
      <c r="D376" s="4"/>
      <c r="E376" s="4"/>
      <c r="F376" s="4"/>
      <c r="G376" s="4">
        <f>SUM(G357:G375)</f>
        <v>116</v>
      </c>
      <c r="H376" s="4">
        <f>SUM(H357:H375)</f>
        <v>58290</v>
      </c>
      <c r="I376" s="4">
        <v>17</v>
      </c>
      <c r="J376" s="4">
        <f>I376*H376/1000</f>
        <v>990.93</v>
      </c>
      <c r="K376" s="4">
        <v>8</v>
      </c>
      <c r="L376" s="4">
        <v>2000</v>
      </c>
      <c r="M376" s="4">
        <f>L376*K376/1000</f>
        <v>16</v>
      </c>
      <c r="N376" s="4">
        <v>0</v>
      </c>
      <c r="O376" s="4">
        <v>500</v>
      </c>
      <c r="P376" s="4">
        <v>40</v>
      </c>
      <c r="Q376" s="4">
        <f>P376*O376*N376/1000</f>
        <v>0</v>
      </c>
      <c r="R376" s="4">
        <f>J376+M376+Q376</f>
        <v>1006.93</v>
      </c>
    </row>
    <row r="377" spans="1:18" ht="12.75">
      <c r="A377" s="9"/>
      <c r="B377" s="2">
        <v>6</v>
      </c>
      <c r="C377" s="2">
        <v>1</v>
      </c>
      <c r="D377" s="2">
        <v>2</v>
      </c>
      <c r="E377" s="2">
        <v>18</v>
      </c>
      <c r="F377" s="2">
        <f>E377*30</f>
        <v>540</v>
      </c>
      <c r="G377" s="2">
        <v>0</v>
      </c>
      <c r="H377" s="2">
        <f>G377*F377</f>
        <v>0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2.75">
      <c r="A378" s="9"/>
      <c r="B378" s="2"/>
      <c r="C378" s="2">
        <v>1</v>
      </c>
      <c r="D378" s="2">
        <v>3</v>
      </c>
      <c r="E378" s="2">
        <v>18</v>
      </c>
      <c r="F378" s="2">
        <f aca="true" t="shared" si="58" ref="F378:F395">E378*30</f>
        <v>540</v>
      </c>
      <c r="G378" s="2">
        <v>0</v>
      </c>
      <c r="H378" s="2">
        <f aca="true" t="shared" si="59" ref="H378:H395">G378*F378</f>
        <v>0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2.75">
      <c r="A379" s="9"/>
      <c r="B379" s="2"/>
      <c r="C379" s="2">
        <v>1</v>
      </c>
      <c r="D379" s="2">
        <v>4</v>
      </c>
      <c r="E379" s="2">
        <v>17</v>
      </c>
      <c r="F379" s="2">
        <f t="shared" si="58"/>
        <v>510</v>
      </c>
      <c r="G379" s="2">
        <v>3</v>
      </c>
      <c r="H379" s="2">
        <f t="shared" si="59"/>
        <v>1530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2.75">
      <c r="A380" s="9"/>
      <c r="B380" s="2"/>
      <c r="C380" s="2">
        <v>1</v>
      </c>
      <c r="D380" s="2">
        <v>5</v>
      </c>
      <c r="E380" s="2">
        <v>16</v>
      </c>
      <c r="F380" s="2">
        <f t="shared" si="58"/>
        <v>480</v>
      </c>
      <c r="G380" s="2">
        <v>3</v>
      </c>
      <c r="H380" s="2">
        <f t="shared" si="59"/>
        <v>1440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2.75">
      <c r="A381" s="9"/>
      <c r="B381" s="2"/>
      <c r="C381" s="2">
        <v>1</v>
      </c>
      <c r="D381" s="2">
        <v>6</v>
      </c>
      <c r="E381" s="2">
        <v>15</v>
      </c>
      <c r="F381" s="2">
        <f t="shared" si="58"/>
        <v>450</v>
      </c>
      <c r="G381" s="2">
        <v>3</v>
      </c>
      <c r="H381" s="2">
        <f t="shared" si="59"/>
        <v>1350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2.75">
      <c r="A382" s="9"/>
      <c r="B382" s="2"/>
      <c r="C382" s="2">
        <v>1</v>
      </c>
      <c r="D382" s="2">
        <v>7</v>
      </c>
      <c r="E382" s="2">
        <v>14</v>
      </c>
      <c r="F382" s="2">
        <f t="shared" si="58"/>
        <v>420</v>
      </c>
      <c r="G382" s="2">
        <v>3</v>
      </c>
      <c r="H382" s="2">
        <f t="shared" si="59"/>
        <v>1260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2.75">
      <c r="A383" s="9"/>
      <c r="B383" s="2"/>
      <c r="C383" s="2">
        <v>1</v>
      </c>
      <c r="D383" s="2">
        <v>8</v>
      </c>
      <c r="E383" s="2">
        <v>13</v>
      </c>
      <c r="F383" s="2">
        <f t="shared" si="58"/>
        <v>390</v>
      </c>
      <c r="G383" s="2">
        <v>3</v>
      </c>
      <c r="H383" s="2">
        <f t="shared" si="59"/>
        <v>1170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2.75">
      <c r="A384" s="9"/>
      <c r="B384" s="2"/>
      <c r="C384" s="2">
        <v>1</v>
      </c>
      <c r="D384" s="2">
        <v>9</v>
      </c>
      <c r="E384" s="2">
        <v>12</v>
      </c>
      <c r="F384" s="2">
        <f t="shared" si="58"/>
        <v>360</v>
      </c>
      <c r="G384" s="2">
        <v>3</v>
      </c>
      <c r="H384" s="2">
        <f t="shared" si="59"/>
        <v>1080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2.75">
      <c r="A385" s="9"/>
      <c r="B385" s="2"/>
      <c r="C385" s="2">
        <v>3</v>
      </c>
      <c r="D385" s="2">
        <v>1</v>
      </c>
      <c r="E385" s="2">
        <v>15</v>
      </c>
      <c r="F385" s="2">
        <f t="shared" si="58"/>
        <v>450</v>
      </c>
      <c r="G385" s="2">
        <v>0</v>
      </c>
      <c r="H385" s="2">
        <f t="shared" si="59"/>
        <v>0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2.75">
      <c r="A386" s="9"/>
      <c r="B386" s="2"/>
      <c r="C386" s="2">
        <v>3</v>
      </c>
      <c r="D386" s="2">
        <v>2</v>
      </c>
      <c r="E386" s="2">
        <v>21</v>
      </c>
      <c r="F386" s="2">
        <f t="shared" si="58"/>
        <v>630</v>
      </c>
      <c r="G386" s="2">
        <v>10</v>
      </c>
      <c r="H386" s="2">
        <f t="shared" si="59"/>
        <v>6300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2.75">
      <c r="A387" s="9"/>
      <c r="B387" s="2"/>
      <c r="C387" s="2">
        <v>3</v>
      </c>
      <c r="D387" s="2">
        <v>3</v>
      </c>
      <c r="E387" s="2">
        <v>21</v>
      </c>
      <c r="F387" s="2">
        <f t="shared" si="58"/>
        <v>630</v>
      </c>
      <c r="G387" s="2">
        <v>10</v>
      </c>
      <c r="H387" s="2">
        <f t="shared" si="59"/>
        <v>6300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2.75">
      <c r="A388" s="9"/>
      <c r="B388" s="2"/>
      <c r="C388" s="2">
        <v>3</v>
      </c>
      <c r="D388" s="2">
        <v>4</v>
      </c>
      <c r="E388" s="2">
        <v>19</v>
      </c>
      <c r="F388" s="2">
        <f t="shared" si="58"/>
        <v>570</v>
      </c>
      <c r="G388" s="2">
        <v>10</v>
      </c>
      <c r="H388" s="2">
        <f t="shared" si="59"/>
        <v>5700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2.75">
      <c r="A389" s="9"/>
      <c r="B389" s="2"/>
      <c r="C389" s="2">
        <v>3</v>
      </c>
      <c r="D389" s="2">
        <v>5</v>
      </c>
      <c r="E389" s="2">
        <v>18</v>
      </c>
      <c r="F389" s="2">
        <f t="shared" si="58"/>
        <v>540</v>
      </c>
      <c r="G389" s="2">
        <v>10</v>
      </c>
      <c r="H389" s="2">
        <f t="shared" si="59"/>
        <v>5400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2.75">
      <c r="A390" s="9"/>
      <c r="B390" s="2"/>
      <c r="C390" s="2">
        <v>3</v>
      </c>
      <c r="D390" s="2">
        <v>6</v>
      </c>
      <c r="E390" s="2">
        <v>17</v>
      </c>
      <c r="F390" s="2">
        <f t="shared" si="58"/>
        <v>510</v>
      </c>
      <c r="G390" s="2">
        <v>10</v>
      </c>
      <c r="H390" s="2">
        <f t="shared" si="59"/>
        <v>5100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2.75">
      <c r="A391" s="9"/>
      <c r="B391" s="2"/>
      <c r="C391" s="2">
        <v>3</v>
      </c>
      <c r="D391" s="2">
        <v>7</v>
      </c>
      <c r="E391" s="2">
        <v>16</v>
      </c>
      <c r="F391" s="2">
        <f t="shared" si="58"/>
        <v>480</v>
      </c>
      <c r="G391" s="2">
        <v>10</v>
      </c>
      <c r="H391" s="2">
        <f t="shared" si="59"/>
        <v>4800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2.75">
      <c r="A392" s="9"/>
      <c r="B392" s="2"/>
      <c r="C392" s="2">
        <v>3</v>
      </c>
      <c r="D392" s="2">
        <v>8</v>
      </c>
      <c r="E392" s="2">
        <v>15</v>
      </c>
      <c r="F392" s="2">
        <f t="shared" si="58"/>
        <v>450</v>
      </c>
      <c r="G392" s="2">
        <v>10</v>
      </c>
      <c r="H392" s="2">
        <f t="shared" si="59"/>
        <v>4500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2.75">
      <c r="A393" s="9"/>
      <c r="B393" s="2"/>
      <c r="C393" s="2">
        <v>3</v>
      </c>
      <c r="D393" s="2">
        <v>9</v>
      </c>
      <c r="E393" s="2">
        <v>14</v>
      </c>
      <c r="F393" s="2">
        <f t="shared" si="58"/>
        <v>420</v>
      </c>
      <c r="G393" s="2">
        <v>10</v>
      </c>
      <c r="H393" s="2">
        <f t="shared" si="59"/>
        <v>4200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2.75">
      <c r="A394" s="9"/>
      <c r="B394" s="2"/>
      <c r="C394" s="2">
        <v>3</v>
      </c>
      <c r="D394" s="2">
        <v>10</v>
      </c>
      <c r="E394" s="2">
        <v>13</v>
      </c>
      <c r="F394" s="2">
        <f t="shared" si="58"/>
        <v>390</v>
      </c>
      <c r="G394" s="2">
        <v>8</v>
      </c>
      <c r="H394" s="2">
        <f t="shared" si="59"/>
        <v>3120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2.75">
      <c r="A395" s="9"/>
      <c r="B395" s="2"/>
      <c r="C395" s="2">
        <v>3</v>
      </c>
      <c r="D395" s="2" t="s">
        <v>105</v>
      </c>
      <c r="E395" s="2"/>
      <c r="F395" s="2">
        <f t="shared" si="58"/>
        <v>0</v>
      </c>
      <c r="G395" s="2">
        <v>10</v>
      </c>
      <c r="H395" s="2">
        <f t="shared" si="59"/>
        <v>0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2.75">
      <c r="A396" s="9"/>
      <c r="B396" s="332" t="s">
        <v>104</v>
      </c>
      <c r="C396" s="333"/>
      <c r="D396" s="4"/>
      <c r="E396" s="4"/>
      <c r="F396" s="4"/>
      <c r="G396" s="4">
        <f>SUM(G377:G395)</f>
        <v>116</v>
      </c>
      <c r="H396" s="4">
        <f>SUM(H377:H395)</f>
        <v>53250</v>
      </c>
      <c r="I396" s="4">
        <v>17</v>
      </c>
      <c r="J396" s="4">
        <f>I396*H396/1000</f>
        <v>905.25</v>
      </c>
      <c r="K396" s="4">
        <v>0</v>
      </c>
      <c r="L396" s="4">
        <v>2000</v>
      </c>
      <c r="M396" s="4">
        <f>L396*K396/1000</f>
        <v>0</v>
      </c>
      <c r="N396" s="4"/>
      <c r="O396" s="4"/>
      <c r="P396" s="4"/>
      <c r="Q396" s="4"/>
      <c r="R396" s="4">
        <f>J396+M396+Q396</f>
        <v>905.25</v>
      </c>
    </row>
    <row r="397" spans="1:18" ht="12.75">
      <c r="A397" s="9"/>
      <c r="B397" s="2">
        <v>7</v>
      </c>
      <c r="C397" s="2">
        <v>1</v>
      </c>
      <c r="D397" s="2">
        <v>3</v>
      </c>
      <c r="E397" s="2">
        <v>18</v>
      </c>
      <c r="F397" s="2">
        <f>E397*30</f>
        <v>540</v>
      </c>
      <c r="G397" s="2">
        <v>0</v>
      </c>
      <c r="H397" s="2">
        <f>G397*F397</f>
        <v>0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2.75">
      <c r="A398" s="9"/>
      <c r="B398" s="2"/>
      <c r="C398" s="2">
        <v>1</v>
      </c>
      <c r="D398" s="2">
        <v>4</v>
      </c>
      <c r="E398" s="2">
        <v>17</v>
      </c>
      <c r="F398" s="2">
        <f aca="true" t="shared" si="60" ref="F398:F415">E398*30</f>
        <v>510</v>
      </c>
      <c r="G398" s="2">
        <v>0</v>
      </c>
      <c r="H398" s="2">
        <f aca="true" t="shared" si="61" ref="H398:H415">G398*F398</f>
        <v>0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2.75">
      <c r="A399" s="9"/>
      <c r="B399" s="2"/>
      <c r="C399" s="2">
        <v>1</v>
      </c>
      <c r="D399" s="2">
        <v>5</v>
      </c>
      <c r="E399" s="2">
        <v>16</v>
      </c>
      <c r="F399" s="2">
        <f t="shared" si="60"/>
        <v>480</v>
      </c>
      <c r="G399" s="2">
        <v>3</v>
      </c>
      <c r="H399" s="2">
        <f t="shared" si="61"/>
        <v>1440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2.75">
      <c r="A400" s="9"/>
      <c r="B400" s="2"/>
      <c r="C400" s="2">
        <v>1</v>
      </c>
      <c r="D400" s="2">
        <v>6</v>
      </c>
      <c r="E400" s="2">
        <v>15</v>
      </c>
      <c r="F400" s="2">
        <f t="shared" si="60"/>
        <v>450</v>
      </c>
      <c r="G400" s="2">
        <v>3</v>
      </c>
      <c r="H400" s="2">
        <f t="shared" si="61"/>
        <v>1350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2.75">
      <c r="A401" s="9"/>
      <c r="B401" s="2"/>
      <c r="C401" s="2">
        <v>1</v>
      </c>
      <c r="D401" s="2">
        <v>7</v>
      </c>
      <c r="E401" s="2">
        <v>14</v>
      </c>
      <c r="F401" s="2">
        <f t="shared" si="60"/>
        <v>420</v>
      </c>
      <c r="G401" s="2">
        <v>3</v>
      </c>
      <c r="H401" s="2">
        <f t="shared" si="61"/>
        <v>1260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2.75">
      <c r="A402" s="9"/>
      <c r="B402" s="2"/>
      <c r="C402" s="2">
        <v>1</v>
      </c>
      <c r="D402" s="2">
        <v>8</v>
      </c>
      <c r="E402" s="2">
        <v>13</v>
      </c>
      <c r="F402" s="2">
        <f t="shared" si="60"/>
        <v>390</v>
      </c>
      <c r="G402" s="2">
        <v>3</v>
      </c>
      <c r="H402" s="2">
        <f t="shared" si="61"/>
        <v>1170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2.75">
      <c r="A403" s="9"/>
      <c r="B403" s="2"/>
      <c r="C403" s="2">
        <v>1</v>
      </c>
      <c r="D403" s="2">
        <v>9</v>
      </c>
      <c r="E403" s="2">
        <v>12</v>
      </c>
      <c r="F403" s="2">
        <f t="shared" si="60"/>
        <v>360</v>
      </c>
      <c r="G403" s="2">
        <v>3</v>
      </c>
      <c r="H403" s="2">
        <f t="shared" si="61"/>
        <v>1080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2.75">
      <c r="A404" s="9"/>
      <c r="B404" s="2"/>
      <c r="C404" s="2">
        <v>1</v>
      </c>
      <c r="D404" s="2">
        <v>10</v>
      </c>
      <c r="E404" s="2">
        <v>10</v>
      </c>
      <c r="F404" s="2">
        <f t="shared" si="60"/>
        <v>300</v>
      </c>
      <c r="G404" s="2">
        <v>3</v>
      </c>
      <c r="H404" s="2">
        <f t="shared" si="61"/>
        <v>900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2.75">
      <c r="A405" s="9"/>
      <c r="B405" s="2"/>
      <c r="C405" s="2">
        <v>3</v>
      </c>
      <c r="D405" s="2">
        <v>1</v>
      </c>
      <c r="E405" s="2">
        <v>15</v>
      </c>
      <c r="F405" s="2">
        <f t="shared" si="60"/>
        <v>450</v>
      </c>
      <c r="G405" s="2">
        <v>0</v>
      </c>
      <c r="H405" s="2">
        <f t="shared" si="61"/>
        <v>0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2.75">
      <c r="A406" s="9"/>
      <c r="B406" s="2"/>
      <c r="C406" s="2">
        <v>3</v>
      </c>
      <c r="D406" s="2">
        <v>2</v>
      </c>
      <c r="E406" s="2">
        <v>21</v>
      </c>
      <c r="F406" s="2">
        <f t="shared" si="60"/>
        <v>630</v>
      </c>
      <c r="G406" s="2">
        <v>0</v>
      </c>
      <c r="H406" s="2">
        <f t="shared" si="61"/>
        <v>0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2.75">
      <c r="A407" s="9"/>
      <c r="B407" s="2"/>
      <c r="C407" s="2">
        <v>3</v>
      </c>
      <c r="D407" s="2">
        <v>3</v>
      </c>
      <c r="E407" s="2">
        <v>21</v>
      </c>
      <c r="F407" s="2">
        <f t="shared" si="60"/>
        <v>630</v>
      </c>
      <c r="G407" s="2">
        <v>10</v>
      </c>
      <c r="H407" s="2">
        <f t="shared" si="61"/>
        <v>6300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2.75">
      <c r="A408" s="9"/>
      <c r="B408" s="2"/>
      <c r="C408" s="2">
        <v>3</v>
      </c>
      <c r="D408" s="2">
        <v>4</v>
      </c>
      <c r="E408" s="2">
        <v>19</v>
      </c>
      <c r="F408" s="2">
        <f t="shared" si="60"/>
        <v>570</v>
      </c>
      <c r="G408" s="2">
        <v>10</v>
      </c>
      <c r="H408" s="2">
        <f t="shared" si="61"/>
        <v>5700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2.75">
      <c r="A409" s="9"/>
      <c r="B409" s="2"/>
      <c r="C409" s="2">
        <v>3</v>
      </c>
      <c r="D409" s="2">
        <v>5</v>
      </c>
      <c r="E409" s="2">
        <v>18</v>
      </c>
      <c r="F409" s="2">
        <f t="shared" si="60"/>
        <v>540</v>
      </c>
      <c r="G409" s="2">
        <v>10</v>
      </c>
      <c r="H409" s="2">
        <f t="shared" si="61"/>
        <v>5400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2.75">
      <c r="A410" s="9"/>
      <c r="B410" s="2"/>
      <c r="C410" s="2">
        <v>3</v>
      </c>
      <c r="D410" s="2">
        <v>6</v>
      </c>
      <c r="E410" s="2">
        <v>17</v>
      </c>
      <c r="F410" s="2">
        <f t="shared" si="60"/>
        <v>510</v>
      </c>
      <c r="G410" s="2">
        <v>10</v>
      </c>
      <c r="H410" s="2">
        <f t="shared" si="61"/>
        <v>5100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2.75">
      <c r="A411" s="9"/>
      <c r="B411" s="2"/>
      <c r="C411" s="2">
        <v>3</v>
      </c>
      <c r="D411" s="2">
        <v>7</v>
      </c>
      <c r="E411" s="2">
        <v>16</v>
      </c>
      <c r="F411" s="2">
        <f t="shared" si="60"/>
        <v>480</v>
      </c>
      <c r="G411" s="2">
        <v>10</v>
      </c>
      <c r="H411" s="2">
        <f t="shared" si="61"/>
        <v>4800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2.75">
      <c r="A412" s="9"/>
      <c r="B412" s="2"/>
      <c r="C412" s="2">
        <v>3</v>
      </c>
      <c r="D412" s="2">
        <v>8</v>
      </c>
      <c r="E412" s="2">
        <v>15</v>
      </c>
      <c r="F412" s="2">
        <f t="shared" si="60"/>
        <v>450</v>
      </c>
      <c r="G412" s="2">
        <v>10</v>
      </c>
      <c r="H412" s="2">
        <f t="shared" si="61"/>
        <v>4500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2.75">
      <c r="A413" s="9"/>
      <c r="B413" s="2"/>
      <c r="C413" s="2">
        <v>3</v>
      </c>
      <c r="D413" s="2">
        <v>9</v>
      </c>
      <c r="E413" s="2">
        <v>14</v>
      </c>
      <c r="F413" s="2">
        <f t="shared" si="60"/>
        <v>420</v>
      </c>
      <c r="G413" s="2">
        <v>10</v>
      </c>
      <c r="H413" s="2">
        <f t="shared" si="61"/>
        <v>4200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2.75">
      <c r="A414" s="9"/>
      <c r="B414" s="2"/>
      <c r="C414" s="2">
        <v>3</v>
      </c>
      <c r="D414" s="2">
        <v>10</v>
      </c>
      <c r="E414" s="2">
        <v>13</v>
      </c>
      <c r="F414" s="2">
        <f t="shared" si="60"/>
        <v>390</v>
      </c>
      <c r="G414" s="2">
        <v>8</v>
      </c>
      <c r="H414" s="2">
        <f t="shared" si="61"/>
        <v>3120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2.75">
      <c r="A415" s="9"/>
      <c r="B415" s="2"/>
      <c r="C415" s="2">
        <v>1.3</v>
      </c>
      <c r="D415" s="2" t="s">
        <v>105</v>
      </c>
      <c r="E415" s="2"/>
      <c r="F415" s="2">
        <f t="shared" si="60"/>
        <v>0</v>
      </c>
      <c r="G415" s="2">
        <v>20</v>
      </c>
      <c r="H415" s="2">
        <f t="shared" si="61"/>
        <v>0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2.75">
      <c r="A416" s="9"/>
      <c r="B416" s="332" t="s">
        <v>106</v>
      </c>
      <c r="C416" s="333"/>
      <c r="D416" s="4"/>
      <c r="E416" s="4"/>
      <c r="F416" s="4"/>
      <c r="G416" s="4">
        <f>SUM(G397:G415)</f>
        <v>116</v>
      </c>
      <c r="H416" s="4">
        <f>SUM(H397:H415)</f>
        <v>46320</v>
      </c>
      <c r="I416" s="4">
        <v>17</v>
      </c>
      <c r="J416" s="4">
        <f>I416*H416/1000</f>
        <v>787.44</v>
      </c>
      <c r="K416" s="4">
        <v>0</v>
      </c>
      <c r="L416" s="4">
        <v>2000</v>
      </c>
      <c r="M416" s="4">
        <f>L416*K416/1000</f>
        <v>0</v>
      </c>
      <c r="N416" s="4"/>
      <c r="O416" s="4"/>
      <c r="P416" s="4"/>
      <c r="Q416" s="4"/>
      <c r="R416" s="4">
        <f>J416+M416+Q416</f>
        <v>787.44</v>
      </c>
    </row>
    <row r="417" spans="1:18" ht="12.75">
      <c r="A417" s="9"/>
      <c r="B417" s="2">
        <v>8</v>
      </c>
      <c r="C417" s="2">
        <v>1</v>
      </c>
      <c r="D417" s="2">
        <v>4</v>
      </c>
      <c r="E417" s="2">
        <v>17</v>
      </c>
      <c r="F417" s="2">
        <f>E417*30</f>
        <v>510</v>
      </c>
      <c r="G417" s="2">
        <v>0</v>
      </c>
      <c r="H417" s="2">
        <f>G417*F417</f>
        <v>0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2.75">
      <c r="A418" s="9"/>
      <c r="B418" s="2"/>
      <c r="C418" s="2">
        <v>1</v>
      </c>
      <c r="D418" s="2">
        <v>5</v>
      </c>
      <c r="E418" s="2">
        <v>16</v>
      </c>
      <c r="F418" s="2">
        <f aca="true" t="shared" si="62" ref="F418:F435">E418*30</f>
        <v>480</v>
      </c>
      <c r="G418" s="2">
        <v>0</v>
      </c>
      <c r="H418" s="2">
        <f aca="true" t="shared" si="63" ref="H418:H435">G418*F418</f>
        <v>0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2.75">
      <c r="A419" s="9"/>
      <c r="B419" s="2"/>
      <c r="C419" s="2">
        <v>1</v>
      </c>
      <c r="D419" s="2">
        <v>6</v>
      </c>
      <c r="E419" s="2">
        <v>15</v>
      </c>
      <c r="F419" s="2">
        <f t="shared" si="62"/>
        <v>450</v>
      </c>
      <c r="G419" s="2">
        <v>3</v>
      </c>
      <c r="H419" s="2">
        <f t="shared" si="63"/>
        <v>1350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2.75">
      <c r="A420" s="9"/>
      <c r="B420" s="2"/>
      <c r="C420" s="2">
        <v>1</v>
      </c>
      <c r="D420" s="2">
        <v>7</v>
      </c>
      <c r="E420" s="2">
        <v>14</v>
      </c>
      <c r="F420" s="2">
        <f t="shared" si="62"/>
        <v>420</v>
      </c>
      <c r="G420" s="2">
        <v>3</v>
      </c>
      <c r="H420" s="2">
        <f t="shared" si="63"/>
        <v>1260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2.75">
      <c r="A421" s="9"/>
      <c r="B421" s="2"/>
      <c r="C421" s="2">
        <v>1</v>
      </c>
      <c r="D421" s="2">
        <v>8</v>
      </c>
      <c r="E421" s="2">
        <v>13</v>
      </c>
      <c r="F421" s="2">
        <f t="shared" si="62"/>
        <v>390</v>
      </c>
      <c r="G421" s="2">
        <v>3</v>
      </c>
      <c r="H421" s="2">
        <f t="shared" si="63"/>
        <v>1170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2.75">
      <c r="A422" s="9"/>
      <c r="B422" s="2"/>
      <c r="C422" s="2">
        <v>1</v>
      </c>
      <c r="D422" s="2">
        <v>9</v>
      </c>
      <c r="E422" s="2">
        <v>12</v>
      </c>
      <c r="F422" s="2">
        <f t="shared" si="62"/>
        <v>360</v>
      </c>
      <c r="G422" s="2">
        <v>3</v>
      </c>
      <c r="H422" s="2">
        <f t="shared" si="63"/>
        <v>1080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2.75">
      <c r="A423" s="9"/>
      <c r="B423" s="2"/>
      <c r="C423" s="2">
        <v>1</v>
      </c>
      <c r="D423" s="2">
        <v>10</v>
      </c>
      <c r="E423" s="2">
        <v>10</v>
      </c>
      <c r="F423" s="2">
        <f t="shared" si="62"/>
        <v>300</v>
      </c>
      <c r="G423" s="2">
        <v>3</v>
      </c>
      <c r="H423" s="2">
        <f t="shared" si="63"/>
        <v>900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2.75">
      <c r="A424" s="9"/>
      <c r="B424" s="2"/>
      <c r="C424" s="2">
        <v>3</v>
      </c>
      <c r="D424" s="2">
        <v>1</v>
      </c>
      <c r="E424" s="2">
        <v>15</v>
      </c>
      <c r="F424" s="2">
        <f t="shared" si="62"/>
        <v>450</v>
      </c>
      <c r="G424" s="2">
        <v>0</v>
      </c>
      <c r="H424" s="2">
        <f t="shared" si="63"/>
        <v>0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2.75">
      <c r="A425" s="9"/>
      <c r="B425" s="2"/>
      <c r="C425" s="2">
        <v>3</v>
      </c>
      <c r="D425" s="2">
        <v>2</v>
      </c>
      <c r="E425" s="2">
        <v>21</v>
      </c>
      <c r="F425" s="2">
        <f t="shared" si="62"/>
        <v>630</v>
      </c>
      <c r="G425" s="2">
        <v>0</v>
      </c>
      <c r="H425" s="2">
        <f t="shared" si="63"/>
        <v>0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2.75">
      <c r="A426" s="9"/>
      <c r="B426" s="2"/>
      <c r="C426" s="2">
        <v>3</v>
      </c>
      <c r="D426" s="2">
        <v>3</v>
      </c>
      <c r="E426" s="2">
        <v>21</v>
      </c>
      <c r="F426" s="2">
        <f t="shared" si="62"/>
        <v>630</v>
      </c>
      <c r="G426" s="2">
        <v>0</v>
      </c>
      <c r="H426" s="2">
        <f t="shared" si="63"/>
        <v>0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2.75">
      <c r="A427" s="9"/>
      <c r="B427" s="2"/>
      <c r="C427" s="2">
        <v>3</v>
      </c>
      <c r="D427" s="2">
        <v>4</v>
      </c>
      <c r="E427" s="2">
        <v>19</v>
      </c>
      <c r="F427" s="2">
        <f t="shared" si="62"/>
        <v>570</v>
      </c>
      <c r="G427" s="2">
        <v>10</v>
      </c>
      <c r="H427" s="2">
        <f t="shared" si="63"/>
        <v>5700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2.75">
      <c r="A428" s="9"/>
      <c r="B428" s="2"/>
      <c r="C428" s="2">
        <v>3</v>
      </c>
      <c r="D428" s="2">
        <v>5</v>
      </c>
      <c r="E428" s="2">
        <v>18</v>
      </c>
      <c r="F428" s="2">
        <f t="shared" si="62"/>
        <v>540</v>
      </c>
      <c r="G428" s="2">
        <v>10</v>
      </c>
      <c r="H428" s="2">
        <f t="shared" si="63"/>
        <v>5400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2.75">
      <c r="A429" s="9"/>
      <c r="B429" s="2"/>
      <c r="C429" s="2">
        <v>3</v>
      </c>
      <c r="D429" s="2">
        <v>6</v>
      </c>
      <c r="E429" s="2">
        <v>17</v>
      </c>
      <c r="F429" s="2">
        <f t="shared" si="62"/>
        <v>510</v>
      </c>
      <c r="G429" s="2">
        <v>10</v>
      </c>
      <c r="H429" s="2">
        <f t="shared" si="63"/>
        <v>5100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2.75">
      <c r="A430" s="9"/>
      <c r="B430" s="2"/>
      <c r="C430" s="2">
        <v>3</v>
      </c>
      <c r="D430" s="2">
        <v>7</v>
      </c>
      <c r="E430" s="2">
        <v>16</v>
      </c>
      <c r="F430" s="2">
        <f t="shared" si="62"/>
        <v>480</v>
      </c>
      <c r="G430" s="2">
        <v>10</v>
      </c>
      <c r="H430" s="2">
        <f t="shared" si="63"/>
        <v>4800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2.75">
      <c r="A431" s="9"/>
      <c r="B431" s="2"/>
      <c r="C431" s="2">
        <v>3</v>
      </c>
      <c r="D431" s="2">
        <v>8</v>
      </c>
      <c r="E431" s="2">
        <v>15</v>
      </c>
      <c r="F431" s="2">
        <f t="shared" si="62"/>
        <v>450</v>
      </c>
      <c r="G431" s="2">
        <v>10</v>
      </c>
      <c r="H431" s="2">
        <f t="shared" si="63"/>
        <v>4500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2.75">
      <c r="A432" s="9"/>
      <c r="B432" s="2"/>
      <c r="C432" s="2">
        <v>3</v>
      </c>
      <c r="D432" s="2">
        <v>9</v>
      </c>
      <c r="E432" s="2">
        <v>14</v>
      </c>
      <c r="F432" s="2">
        <f t="shared" si="62"/>
        <v>420</v>
      </c>
      <c r="G432" s="2">
        <v>10</v>
      </c>
      <c r="H432" s="2">
        <f t="shared" si="63"/>
        <v>4200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2.75">
      <c r="A433" s="9"/>
      <c r="B433" s="2"/>
      <c r="C433" s="2">
        <v>3</v>
      </c>
      <c r="D433" s="2">
        <v>10</v>
      </c>
      <c r="E433" s="2">
        <v>13</v>
      </c>
      <c r="F433" s="2">
        <f t="shared" si="62"/>
        <v>390</v>
      </c>
      <c r="G433" s="2">
        <v>10</v>
      </c>
      <c r="H433" s="2">
        <f t="shared" si="63"/>
        <v>3900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2.75">
      <c r="A434" s="9"/>
      <c r="B434" s="2"/>
      <c r="C434" s="2">
        <v>4</v>
      </c>
      <c r="D434" s="2">
        <v>1</v>
      </c>
      <c r="E434" s="2">
        <v>15</v>
      </c>
      <c r="F434" s="2">
        <f t="shared" si="62"/>
        <v>450</v>
      </c>
      <c r="G434" s="2">
        <v>10</v>
      </c>
      <c r="H434" s="2">
        <f t="shared" si="63"/>
        <v>4500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2.75">
      <c r="A435" s="9"/>
      <c r="B435" s="2"/>
      <c r="C435" s="2">
        <v>1.3</v>
      </c>
      <c r="D435" s="2" t="s">
        <v>105</v>
      </c>
      <c r="E435" s="2"/>
      <c r="F435" s="2">
        <f t="shared" si="62"/>
        <v>0</v>
      </c>
      <c r="G435" s="2">
        <v>21</v>
      </c>
      <c r="H435" s="2">
        <f t="shared" si="63"/>
        <v>0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2.75">
      <c r="A436" s="9"/>
      <c r="B436" s="332" t="s">
        <v>107</v>
      </c>
      <c r="C436" s="333"/>
      <c r="D436" s="4"/>
      <c r="E436" s="4"/>
      <c r="F436" s="4"/>
      <c r="G436" s="4">
        <f>SUM(G417:G435)</f>
        <v>116</v>
      </c>
      <c r="H436" s="4">
        <f>SUM(H417:H435)</f>
        <v>43860</v>
      </c>
      <c r="I436" s="4">
        <v>17</v>
      </c>
      <c r="J436" s="4">
        <f>I436*H436/1000</f>
        <v>745.62</v>
      </c>
      <c r="K436" s="4">
        <v>8</v>
      </c>
      <c r="L436" s="4">
        <v>2000</v>
      </c>
      <c r="M436" s="4">
        <f>L436*K436/1000</f>
        <v>16</v>
      </c>
      <c r="N436" s="4"/>
      <c r="O436" s="4"/>
      <c r="P436" s="4"/>
      <c r="Q436" s="4"/>
      <c r="R436" s="4">
        <f>J436+M436+Q436</f>
        <v>761.62</v>
      </c>
    </row>
    <row r="437" spans="1:18" ht="12.75">
      <c r="A437" s="9"/>
      <c r="B437" s="2">
        <v>9</v>
      </c>
      <c r="C437" s="2">
        <v>4</v>
      </c>
      <c r="D437" s="2">
        <v>1</v>
      </c>
      <c r="E437" s="2">
        <v>15</v>
      </c>
      <c r="F437" s="2">
        <f>E437*30</f>
        <v>450</v>
      </c>
      <c r="G437" s="2">
        <v>10</v>
      </c>
      <c r="H437" s="2">
        <f>G437*F437</f>
        <v>4500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2.75">
      <c r="A438" s="9"/>
      <c r="B438" s="2"/>
      <c r="C438" s="2">
        <v>4</v>
      </c>
      <c r="D438" s="2">
        <v>2</v>
      </c>
      <c r="E438" s="2">
        <v>21</v>
      </c>
      <c r="F438" s="2">
        <f aca="true" t="shared" si="64" ref="F438:F454">E438*30</f>
        <v>630</v>
      </c>
      <c r="G438" s="2">
        <v>10</v>
      </c>
      <c r="H438" s="2">
        <f aca="true" t="shared" si="65" ref="H438:H454">G438*F438</f>
        <v>6300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2.75">
      <c r="A439" s="9"/>
      <c r="B439" s="2"/>
      <c r="C439" s="2">
        <v>1</v>
      </c>
      <c r="D439" s="2">
        <v>5</v>
      </c>
      <c r="E439" s="2">
        <v>16</v>
      </c>
      <c r="F439" s="2">
        <f t="shared" si="64"/>
        <v>480</v>
      </c>
      <c r="G439" s="2">
        <v>0</v>
      </c>
      <c r="H439" s="2">
        <f t="shared" si="65"/>
        <v>0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2.75">
      <c r="A440" s="9"/>
      <c r="B440" s="2"/>
      <c r="C440" s="2">
        <v>1</v>
      </c>
      <c r="D440" s="2">
        <v>6</v>
      </c>
      <c r="E440" s="2">
        <v>15</v>
      </c>
      <c r="F440" s="2">
        <f t="shared" si="64"/>
        <v>450</v>
      </c>
      <c r="G440" s="2">
        <v>0</v>
      </c>
      <c r="H440" s="2">
        <f t="shared" si="65"/>
        <v>0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2.75">
      <c r="A441" s="9"/>
      <c r="B441" s="2"/>
      <c r="C441" s="2">
        <v>1</v>
      </c>
      <c r="D441" s="2">
        <v>7</v>
      </c>
      <c r="E441" s="2">
        <v>14</v>
      </c>
      <c r="F441" s="2">
        <f t="shared" si="64"/>
        <v>420</v>
      </c>
      <c r="G441" s="2">
        <v>3</v>
      </c>
      <c r="H441" s="2">
        <f t="shared" si="65"/>
        <v>1260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2.75">
      <c r="A442" s="9"/>
      <c r="B442" s="2"/>
      <c r="C442" s="2">
        <v>1</v>
      </c>
      <c r="D442" s="2">
        <v>8</v>
      </c>
      <c r="E442" s="2">
        <v>13</v>
      </c>
      <c r="F442" s="2">
        <f t="shared" si="64"/>
        <v>390</v>
      </c>
      <c r="G442" s="2">
        <v>3</v>
      </c>
      <c r="H442" s="2">
        <f t="shared" si="65"/>
        <v>1170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2.75">
      <c r="A443" s="9"/>
      <c r="B443" s="2"/>
      <c r="C443" s="2">
        <v>1</v>
      </c>
      <c r="D443" s="2">
        <v>9</v>
      </c>
      <c r="E443" s="2">
        <v>12</v>
      </c>
      <c r="F443" s="2">
        <f t="shared" si="64"/>
        <v>360</v>
      </c>
      <c r="G443" s="2">
        <v>3</v>
      </c>
      <c r="H443" s="2">
        <f t="shared" si="65"/>
        <v>1080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2.75">
      <c r="A444" s="9"/>
      <c r="B444" s="2"/>
      <c r="C444" s="2">
        <v>1</v>
      </c>
      <c r="D444" s="2">
        <v>10</v>
      </c>
      <c r="E444" s="2">
        <v>10</v>
      </c>
      <c r="F444" s="2">
        <f t="shared" si="64"/>
        <v>300</v>
      </c>
      <c r="G444" s="2">
        <v>3</v>
      </c>
      <c r="H444" s="2">
        <f t="shared" si="65"/>
        <v>900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2.75">
      <c r="A445" s="9"/>
      <c r="B445" s="2"/>
      <c r="C445" s="2">
        <v>3</v>
      </c>
      <c r="D445" s="2">
        <v>2</v>
      </c>
      <c r="E445" s="2">
        <v>21</v>
      </c>
      <c r="F445" s="2">
        <f t="shared" si="64"/>
        <v>630</v>
      </c>
      <c r="G445" s="2">
        <v>0</v>
      </c>
      <c r="H445" s="2">
        <f t="shared" si="65"/>
        <v>0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2.75">
      <c r="A446" s="9"/>
      <c r="B446" s="2"/>
      <c r="C446" s="2">
        <v>3</v>
      </c>
      <c r="D446" s="2">
        <v>3</v>
      </c>
      <c r="E446" s="2">
        <v>21</v>
      </c>
      <c r="F446" s="2">
        <f t="shared" si="64"/>
        <v>630</v>
      </c>
      <c r="G446" s="2">
        <v>0</v>
      </c>
      <c r="H446" s="2">
        <f t="shared" si="65"/>
        <v>0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2.75">
      <c r="A447" s="9"/>
      <c r="B447" s="2"/>
      <c r="C447" s="2">
        <v>3</v>
      </c>
      <c r="D447" s="2">
        <v>4</v>
      </c>
      <c r="E447" s="2">
        <v>19</v>
      </c>
      <c r="F447" s="2">
        <f t="shared" si="64"/>
        <v>570</v>
      </c>
      <c r="G447" s="2">
        <v>0</v>
      </c>
      <c r="H447" s="2">
        <f t="shared" si="65"/>
        <v>0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2.75">
      <c r="A448" s="9"/>
      <c r="B448" s="2"/>
      <c r="C448" s="2">
        <v>3</v>
      </c>
      <c r="D448" s="2">
        <v>5</v>
      </c>
      <c r="E448" s="2">
        <v>18</v>
      </c>
      <c r="F448" s="2">
        <f t="shared" si="64"/>
        <v>540</v>
      </c>
      <c r="G448" s="2">
        <v>10</v>
      </c>
      <c r="H448" s="2">
        <f t="shared" si="65"/>
        <v>5400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2.75">
      <c r="A449" s="9"/>
      <c r="B449" s="2"/>
      <c r="C449" s="2">
        <v>3</v>
      </c>
      <c r="D449" s="2">
        <v>6</v>
      </c>
      <c r="E449" s="2">
        <v>17</v>
      </c>
      <c r="F449" s="2">
        <f t="shared" si="64"/>
        <v>510</v>
      </c>
      <c r="G449" s="2">
        <v>10</v>
      </c>
      <c r="H449" s="2">
        <f t="shared" si="65"/>
        <v>5100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2.75">
      <c r="A450" s="9"/>
      <c r="B450" s="2"/>
      <c r="C450" s="2">
        <v>3</v>
      </c>
      <c r="D450" s="2">
        <v>7</v>
      </c>
      <c r="E450" s="2">
        <v>16</v>
      </c>
      <c r="F450" s="2">
        <f t="shared" si="64"/>
        <v>480</v>
      </c>
      <c r="G450" s="2">
        <v>10</v>
      </c>
      <c r="H450" s="2">
        <f t="shared" si="65"/>
        <v>4800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2.75">
      <c r="A451" s="9"/>
      <c r="B451" s="2"/>
      <c r="C451" s="2">
        <v>3</v>
      </c>
      <c r="D451" s="2">
        <v>8</v>
      </c>
      <c r="E451" s="2">
        <v>15</v>
      </c>
      <c r="F451" s="2">
        <f t="shared" si="64"/>
        <v>450</v>
      </c>
      <c r="G451" s="2">
        <v>10</v>
      </c>
      <c r="H451" s="2">
        <f t="shared" si="65"/>
        <v>4500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2.75">
      <c r="A452" s="9"/>
      <c r="B452" s="2"/>
      <c r="C452" s="2">
        <v>3</v>
      </c>
      <c r="D452" s="2">
        <v>9</v>
      </c>
      <c r="E452" s="2">
        <v>14</v>
      </c>
      <c r="F452" s="2">
        <f t="shared" si="64"/>
        <v>420</v>
      </c>
      <c r="G452" s="2">
        <v>10</v>
      </c>
      <c r="H452" s="2">
        <f t="shared" si="65"/>
        <v>4200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2.75">
      <c r="A453" s="9"/>
      <c r="B453" s="2"/>
      <c r="C453" s="2">
        <v>3</v>
      </c>
      <c r="D453" s="2">
        <v>10</v>
      </c>
      <c r="E453" s="2">
        <v>13</v>
      </c>
      <c r="F453" s="2">
        <f t="shared" si="64"/>
        <v>390</v>
      </c>
      <c r="G453" s="2">
        <v>12</v>
      </c>
      <c r="H453" s="2">
        <f t="shared" si="65"/>
        <v>4680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2.75">
      <c r="A454" s="9"/>
      <c r="B454" s="2"/>
      <c r="C454" s="20" t="s">
        <v>110</v>
      </c>
      <c r="D454" s="2" t="s">
        <v>105</v>
      </c>
      <c r="E454" s="2"/>
      <c r="F454" s="2">
        <f t="shared" si="64"/>
        <v>0</v>
      </c>
      <c r="G454" s="2">
        <v>22</v>
      </c>
      <c r="H454" s="2">
        <f t="shared" si="65"/>
        <v>0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2.75">
      <c r="A455" s="9"/>
      <c r="B455" s="332" t="s">
        <v>95</v>
      </c>
      <c r="C455" s="333"/>
      <c r="D455" s="4"/>
      <c r="E455" s="4"/>
      <c r="F455" s="4"/>
      <c r="G455" s="4">
        <f>SUM(G437:G454)</f>
        <v>116</v>
      </c>
      <c r="H455" s="4">
        <f>SUM(H437:H454)</f>
        <v>43890</v>
      </c>
      <c r="I455" s="4">
        <v>17</v>
      </c>
      <c r="J455" s="4">
        <f>I455*H455/1000</f>
        <v>746.13</v>
      </c>
      <c r="K455" s="4">
        <v>8</v>
      </c>
      <c r="L455" s="4">
        <v>2000</v>
      </c>
      <c r="M455" s="4">
        <f>L455*K455/1000</f>
        <v>16</v>
      </c>
      <c r="N455" s="4"/>
      <c r="O455" s="4"/>
      <c r="P455" s="4"/>
      <c r="Q455" s="4"/>
      <c r="R455" s="4">
        <f>J455+M455+Q455</f>
        <v>762.13</v>
      </c>
    </row>
    <row r="456" spans="1:18" ht="12.75">
      <c r="A456" s="9"/>
      <c r="B456" s="2">
        <v>10</v>
      </c>
      <c r="C456" s="2">
        <v>1</v>
      </c>
      <c r="D456" s="2">
        <v>1</v>
      </c>
      <c r="E456" s="2">
        <v>12</v>
      </c>
      <c r="F456" s="2">
        <f>E456*30</f>
        <v>360</v>
      </c>
      <c r="G456" s="2">
        <v>2</v>
      </c>
      <c r="H456" s="2">
        <f>G456*F456</f>
        <v>720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2.75">
      <c r="A457" s="9"/>
      <c r="B457" s="2"/>
      <c r="C457" s="2">
        <v>2</v>
      </c>
      <c r="D457" s="2">
        <v>1</v>
      </c>
      <c r="E457" s="2">
        <v>14</v>
      </c>
      <c r="F457" s="2">
        <f aca="true" t="shared" si="66" ref="F457:F475">E457*30</f>
        <v>420</v>
      </c>
      <c r="G457" s="2">
        <v>3</v>
      </c>
      <c r="H457" s="2">
        <f aca="true" t="shared" si="67" ref="H457:H475">G457*F457</f>
        <v>1260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2.75">
      <c r="A458" s="9"/>
      <c r="B458" s="2"/>
      <c r="C458" s="2">
        <v>4</v>
      </c>
      <c r="D458" s="2">
        <v>1</v>
      </c>
      <c r="E458" s="2">
        <v>15</v>
      </c>
      <c r="F458" s="2">
        <f t="shared" si="66"/>
        <v>450</v>
      </c>
      <c r="G458" s="2">
        <v>10</v>
      </c>
      <c r="H458" s="2">
        <f t="shared" si="67"/>
        <v>4500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2.75">
      <c r="A459" s="9"/>
      <c r="B459" s="2"/>
      <c r="C459" s="2">
        <v>2</v>
      </c>
      <c r="D459" s="2">
        <v>2</v>
      </c>
      <c r="E459" s="2">
        <v>20</v>
      </c>
      <c r="F459" s="2">
        <f t="shared" si="66"/>
        <v>600</v>
      </c>
      <c r="G459" s="2">
        <v>0</v>
      </c>
      <c r="H459" s="2">
        <f t="shared" si="67"/>
        <v>0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2.75">
      <c r="A460" s="9"/>
      <c r="B460" s="2"/>
      <c r="C460" s="2">
        <v>4</v>
      </c>
      <c r="D460" s="2">
        <v>2</v>
      </c>
      <c r="E460" s="2">
        <v>21</v>
      </c>
      <c r="F460" s="2">
        <f t="shared" si="66"/>
        <v>630</v>
      </c>
      <c r="G460" s="2">
        <v>10</v>
      </c>
      <c r="H460" s="2">
        <f t="shared" si="67"/>
        <v>6300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2.75">
      <c r="A461" s="9"/>
      <c r="B461" s="2"/>
      <c r="C461" s="2">
        <v>4</v>
      </c>
      <c r="D461" s="2">
        <v>3</v>
      </c>
      <c r="E461" s="2">
        <v>21</v>
      </c>
      <c r="F461" s="2">
        <f t="shared" si="66"/>
        <v>630</v>
      </c>
      <c r="G461" s="2">
        <v>10</v>
      </c>
      <c r="H461" s="2">
        <f t="shared" si="67"/>
        <v>6300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2.75">
      <c r="A462" s="9"/>
      <c r="B462" s="2"/>
      <c r="C462" s="2">
        <v>1</v>
      </c>
      <c r="D462" s="2">
        <v>6</v>
      </c>
      <c r="E462" s="2">
        <v>15</v>
      </c>
      <c r="F462" s="2">
        <f t="shared" si="66"/>
        <v>450</v>
      </c>
      <c r="G462" s="2">
        <v>0</v>
      </c>
      <c r="H462" s="2">
        <f t="shared" si="67"/>
        <v>0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2.75">
      <c r="A463" s="9"/>
      <c r="B463" s="2"/>
      <c r="C463" s="2">
        <v>1</v>
      </c>
      <c r="D463" s="2">
        <v>7</v>
      </c>
      <c r="E463" s="2">
        <v>14</v>
      </c>
      <c r="F463" s="2">
        <f t="shared" si="66"/>
        <v>420</v>
      </c>
      <c r="G463" s="2">
        <v>0</v>
      </c>
      <c r="H463" s="2">
        <f t="shared" si="67"/>
        <v>0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2.75">
      <c r="A464" s="9"/>
      <c r="B464" s="2"/>
      <c r="C464" s="2">
        <v>1</v>
      </c>
      <c r="D464" s="2">
        <v>8</v>
      </c>
      <c r="E464" s="2">
        <v>13</v>
      </c>
      <c r="F464" s="2">
        <f t="shared" si="66"/>
        <v>390</v>
      </c>
      <c r="G464" s="2">
        <v>3</v>
      </c>
      <c r="H464" s="2">
        <f t="shared" si="67"/>
        <v>1170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2.75">
      <c r="A465" s="9"/>
      <c r="B465" s="2"/>
      <c r="C465" s="2">
        <v>1</v>
      </c>
      <c r="D465" s="2">
        <v>9</v>
      </c>
      <c r="E465" s="2">
        <v>12</v>
      </c>
      <c r="F465" s="2">
        <f t="shared" si="66"/>
        <v>360</v>
      </c>
      <c r="G465" s="2">
        <v>3</v>
      </c>
      <c r="H465" s="2">
        <f t="shared" si="67"/>
        <v>1080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2.75">
      <c r="A466" s="9"/>
      <c r="B466" s="2"/>
      <c r="C466" s="2">
        <v>1</v>
      </c>
      <c r="D466" s="2">
        <v>10</v>
      </c>
      <c r="E466" s="2">
        <v>10</v>
      </c>
      <c r="F466" s="2">
        <f t="shared" si="66"/>
        <v>300</v>
      </c>
      <c r="G466" s="2">
        <v>3</v>
      </c>
      <c r="H466" s="2">
        <f t="shared" si="67"/>
        <v>900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2.75">
      <c r="A467" s="9"/>
      <c r="B467" s="2"/>
      <c r="C467" s="2">
        <v>3</v>
      </c>
      <c r="D467" s="2">
        <v>3</v>
      </c>
      <c r="E467" s="2">
        <v>21</v>
      </c>
      <c r="F467" s="2">
        <f t="shared" si="66"/>
        <v>630</v>
      </c>
      <c r="G467" s="2">
        <v>0</v>
      </c>
      <c r="H467" s="2">
        <f t="shared" si="67"/>
        <v>0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2.75">
      <c r="A468" s="9"/>
      <c r="B468" s="2"/>
      <c r="C468" s="2">
        <v>3</v>
      </c>
      <c r="D468" s="2">
        <v>4</v>
      </c>
      <c r="E468" s="2">
        <v>19</v>
      </c>
      <c r="F468" s="2">
        <f t="shared" si="66"/>
        <v>570</v>
      </c>
      <c r="G468" s="2">
        <v>0</v>
      </c>
      <c r="H468" s="2">
        <f t="shared" si="67"/>
        <v>0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2.75">
      <c r="A469" s="9"/>
      <c r="B469" s="2"/>
      <c r="C469" s="2">
        <v>3</v>
      </c>
      <c r="D469" s="2">
        <v>5</v>
      </c>
      <c r="E469" s="2">
        <v>18</v>
      </c>
      <c r="F469" s="2">
        <f t="shared" si="66"/>
        <v>540</v>
      </c>
      <c r="G469" s="2">
        <v>0</v>
      </c>
      <c r="H469" s="2">
        <f t="shared" si="67"/>
        <v>0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2.75">
      <c r="A470" s="9"/>
      <c r="B470" s="2"/>
      <c r="C470" s="2">
        <v>3</v>
      </c>
      <c r="D470" s="2">
        <v>6</v>
      </c>
      <c r="E470" s="2">
        <v>17</v>
      </c>
      <c r="F470" s="2">
        <f t="shared" si="66"/>
        <v>510</v>
      </c>
      <c r="G470" s="2">
        <v>10</v>
      </c>
      <c r="H470" s="2">
        <f t="shared" si="67"/>
        <v>5100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2.75">
      <c r="A471" s="9"/>
      <c r="B471" s="2"/>
      <c r="C471" s="2">
        <v>3</v>
      </c>
      <c r="D471" s="2">
        <v>7</v>
      </c>
      <c r="E471" s="2">
        <v>16</v>
      </c>
      <c r="F471" s="2">
        <f t="shared" si="66"/>
        <v>480</v>
      </c>
      <c r="G471" s="2">
        <v>10</v>
      </c>
      <c r="H471" s="2">
        <f t="shared" si="67"/>
        <v>4800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2.75">
      <c r="A472" s="9"/>
      <c r="B472" s="2"/>
      <c r="C472" s="2">
        <v>3</v>
      </c>
      <c r="D472" s="2">
        <v>8</v>
      </c>
      <c r="E472" s="2">
        <v>15</v>
      </c>
      <c r="F472" s="2">
        <f t="shared" si="66"/>
        <v>450</v>
      </c>
      <c r="G472" s="2">
        <v>10</v>
      </c>
      <c r="H472" s="2">
        <f t="shared" si="67"/>
        <v>4500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2.75">
      <c r="A473" s="9"/>
      <c r="B473" s="2"/>
      <c r="C473" s="2">
        <v>3</v>
      </c>
      <c r="D473" s="2">
        <v>9</v>
      </c>
      <c r="E473" s="2">
        <v>14</v>
      </c>
      <c r="F473" s="2">
        <f t="shared" si="66"/>
        <v>420</v>
      </c>
      <c r="G473" s="2">
        <v>10</v>
      </c>
      <c r="H473" s="2">
        <f t="shared" si="67"/>
        <v>4200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2.75">
      <c r="A474" s="9"/>
      <c r="B474" s="2"/>
      <c r="C474" s="2">
        <v>3</v>
      </c>
      <c r="D474" s="2">
        <v>10</v>
      </c>
      <c r="E474" s="2">
        <v>13</v>
      </c>
      <c r="F474" s="2">
        <f t="shared" si="66"/>
        <v>390</v>
      </c>
      <c r="G474" s="2">
        <v>12</v>
      </c>
      <c r="H474" s="2">
        <f t="shared" si="67"/>
        <v>4680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2.75">
      <c r="A475" s="9"/>
      <c r="B475" s="2"/>
      <c r="C475" s="2" t="s">
        <v>110</v>
      </c>
      <c r="D475" s="2" t="s">
        <v>105</v>
      </c>
      <c r="E475" s="2"/>
      <c r="F475" s="2">
        <f t="shared" si="66"/>
        <v>0</v>
      </c>
      <c r="G475" s="2">
        <v>20</v>
      </c>
      <c r="H475" s="2">
        <f t="shared" si="67"/>
        <v>0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2.75">
      <c r="A476" s="9"/>
      <c r="B476" s="332" t="s">
        <v>96</v>
      </c>
      <c r="C476" s="333"/>
      <c r="D476" s="4"/>
      <c r="E476" s="4"/>
      <c r="F476" s="4"/>
      <c r="G476" s="4">
        <f>SUM(G456:G475)</f>
        <v>116</v>
      </c>
      <c r="H476" s="4">
        <f>SUM(H456:H475)</f>
        <v>45510</v>
      </c>
      <c r="I476" s="4">
        <v>17</v>
      </c>
      <c r="J476" s="4">
        <f>I476*H476/1000</f>
        <v>773.67</v>
      </c>
      <c r="K476" s="4">
        <v>10</v>
      </c>
      <c r="L476" s="4">
        <v>2000</v>
      </c>
      <c r="M476" s="4">
        <f>L476*K476/1000</f>
        <v>20</v>
      </c>
      <c r="N476" s="4">
        <v>2</v>
      </c>
      <c r="O476" s="4">
        <v>500</v>
      </c>
      <c r="P476" s="4">
        <v>40</v>
      </c>
      <c r="Q476" s="4">
        <f>P476*O476*N476/1000</f>
        <v>40</v>
      </c>
      <c r="R476" s="4">
        <f>J476+M476+Q476</f>
        <v>833.67</v>
      </c>
    </row>
    <row r="477" spans="1:18" ht="12.75">
      <c r="A477" s="9"/>
      <c r="B477" s="2">
        <v>11</v>
      </c>
      <c r="C477" s="2">
        <v>1</v>
      </c>
      <c r="D477" s="2">
        <v>1</v>
      </c>
      <c r="E477" s="2">
        <v>12</v>
      </c>
      <c r="F477" s="2">
        <f>E477*30</f>
        <v>360</v>
      </c>
      <c r="G477" s="2">
        <v>2</v>
      </c>
      <c r="H477" s="2">
        <f>G477*F477</f>
        <v>720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2.75">
      <c r="A478" s="9"/>
      <c r="B478" s="2"/>
      <c r="C478" s="2">
        <v>1</v>
      </c>
      <c r="D478" s="2">
        <v>2</v>
      </c>
      <c r="E478" s="2">
        <v>18</v>
      </c>
      <c r="F478" s="2">
        <f aca="true" t="shared" si="68" ref="F478:F496">E478*30</f>
        <v>540</v>
      </c>
      <c r="G478" s="2">
        <v>2</v>
      </c>
      <c r="H478" s="2">
        <f aca="true" t="shared" si="69" ref="H478:H496">G478*F478</f>
        <v>1080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2.75">
      <c r="A479" s="9"/>
      <c r="B479" s="2"/>
      <c r="C479" s="2">
        <v>2</v>
      </c>
      <c r="D479" s="2">
        <v>1</v>
      </c>
      <c r="E479" s="2">
        <v>14</v>
      </c>
      <c r="F479" s="2">
        <f t="shared" si="68"/>
        <v>420</v>
      </c>
      <c r="G479" s="2">
        <v>3</v>
      </c>
      <c r="H479" s="2">
        <f t="shared" si="69"/>
        <v>1260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2.75">
      <c r="A480" s="9"/>
      <c r="B480" s="2"/>
      <c r="C480" s="2">
        <v>2</v>
      </c>
      <c r="D480" s="2">
        <v>2</v>
      </c>
      <c r="E480" s="2">
        <v>20</v>
      </c>
      <c r="F480" s="2">
        <f t="shared" si="68"/>
        <v>600</v>
      </c>
      <c r="G480" s="2">
        <v>3</v>
      </c>
      <c r="H480" s="2">
        <f t="shared" si="69"/>
        <v>1800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2.75">
      <c r="A481" s="9"/>
      <c r="B481" s="2"/>
      <c r="C481" s="2">
        <v>2</v>
      </c>
      <c r="D481" s="2">
        <v>3</v>
      </c>
      <c r="E481" s="2">
        <v>18</v>
      </c>
      <c r="F481" s="2">
        <f t="shared" si="68"/>
        <v>540</v>
      </c>
      <c r="G481" s="2">
        <v>3</v>
      </c>
      <c r="H481" s="2">
        <f t="shared" si="69"/>
        <v>1620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2.75">
      <c r="A482" s="9"/>
      <c r="B482" s="2"/>
      <c r="C482" s="2">
        <v>4</v>
      </c>
      <c r="D482" s="2">
        <v>1</v>
      </c>
      <c r="E482" s="2">
        <v>15</v>
      </c>
      <c r="F482" s="2">
        <f t="shared" si="68"/>
        <v>450</v>
      </c>
      <c r="G482" s="2">
        <v>9</v>
      </c>
      <c r="H482" s="2">
        <f t="shared" si="69"/>
        <v>4050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2.75">
      <c r="A483" s="9"/>
      <c r="B483" s="2"/>
      <c r="C483" s="2">
        <v>4</v>
      </c>
      <c r="D483" s="2">
        <v>2</v>
      </c>
      <c r="E483" s="2">
        <v>21</v>
      </c>
      <c r="F483" s="2">
        <f t="shared" si="68"/>
        <v>630</v>
      </c>
      <c r="G483" s="2">
        <v>9</v>
      </c>
      <c r="H483" s="2">
        <f t="shared" si="69"/>
        <v>5670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2.75">
      <c r="A484" s="9"/>
      <c r="B484" s="2"/>
      <c r="C484" s="2">
        <v>4</v>
      </c>
      <c r="D484" s="2">
        <v>3</v>
      </c>
      <c r="E484" s="2">
        <v>21</v>
      </c>
      <c r="F484" s="2">
        <f t="shared" si="68"/>
        <v>630</v>
      </c>
      <c r="G484" s="2">
        <v>9</v>
      </c>
      <c r="H484" s="2">
        <f t="shared" si="69"/>
        <v>5670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2.75">
      <c r="A485" s="9"/>
      <c r="B485" s="2"/>
      <c r="C485" s="2">
        <v>4</v>
      </c>
      <c r="D485" s="2">
        <v>4</v>
      </c>
      <c r="E485" s="2">
        <v>19</v>
      </c>
      <c r="F485" s="2">
        <f t="shared" si="68"/>
        <v>570</v>
      </c>
      <c r="G485" s="2">
        <v>9</v>
      </c>
      <c r="H485" s="2">
        <f t="shared" si="69"/>
        <v>5130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2.75">
      <c r="A486" s="9"/>
      <c r="B486" s="2"/>
      <c r="C486" s="2">
        <v>1</v>
      </c>
      <c r="D486" s="2">
        <v>8</v>
      </c>
      <c r="E486" s="2">
        <v>13</v>
      </c>
      <c r="F486" s="2">
        <f t="shared" si="68"/>
        <v>390</v>
      </c>
      <c r="G486" s="2">
        <v>0</v>
      </c>
      <c r="H486" s="2">
        <f t="shared" si="69"/>
        <v>0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2.75">
      <c r="A487" s="9"/>
      <c r="B487" s="2"/>
      <c r="C487" s="2">
        <v>1</v>
      </c>
      <c r="D487" s="2">
        <v>9</v>
      </c>
      <c r="E487" s="2">
        <v>12</v>
      </c>
      <c r="F487" s="2">
        <f t="shared" si="68"/>
        <v>360</v>
      </c>
      <c r="G487" s="2">
        <v>3</v>
      </c>
      <c r="H487" s="2">
        <f t="shared" si="69"/>
        <v>1080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2.75">
      <c r="A488" s="9"/>
      <c r="B488" s="2"/>
      <c r="C488" s="2">
        <v>1</v>
      </c>
      <c r="D488" s="2">
        <v>10</v>
      </c>
      <c r="E488" s="2">
        <v>10</v>
      </c>
      <c r="F488" s="2">
        <f t="shared" si="68"/>
        <v>300</v>
      </c>
      <c r="G488" s="2">
        <v>3</v>
      </c>
      <c r="H488" s="2">
        <f t="shared" si="69"/>
        <v>900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2.75">
      <c r="A489" s="9"/>
      <c r="B489" s="2"/>
      <c r="C489" s="2">
        <v>3</v>
      </c>
      <c r="D489" s="2">
        <v>4</v>
      </c>
      <c r="E489" s="2">
        <v>19</v>
      </c>
      <c r="F489" s="2">
        <f t="shared" si="68"/>
        <v>570</v>
      </c>
      <c r="G489" s="2">
        <v>0</v>
      </c>
      <c r="H489" s="2">
        <f t="shared" si="69"/>
        <v>0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2.75">
      <c r="A490" s="9"/>
      <c r="B490" s="2"/>
      <c r="C490" s="2">
        <v>3</v>
      </c>
      <c r="D490" s="2">
        <v>5</v>
      </c>
      <c r="E490" s="2">
        <v>18</v>
      </c>
      <c r="F490" s="2">
        <f t="shared" si="68"/>
        <v>540</v>
      </c>
      <c r="G490" s="2">
        <v>0</v>
      </c>
      <c r="H490" s="2">
        <f t="shared" si="69"/>
        <v>0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2.75">
      <c r="A491" s="9"/>
      <c r="B491" s="2"/>
      <c r="C491" s="2">
        <v>3</v>
      </c>
      <c r="D491" s="2">
        <v>6</v>
      </c>
      <c r="E491" s="2">
        <v>17</v>
      </c>
      <c r="F491" s="2">
        <f t="shared" si="68"/>
        <v>510</v>
      </c>
      <c r="G491" s="2">
        <v>0</v>
      </c>
      <c r="H491" s="2">
        <f t="shared" si="69"/>
        <v>0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2.75">
      <c r="A492" s="9"/>
      <c r="B492" s="2"/>
      <c r="C492" s="2">
        <v>3</v>
      </c>
      <c r="D492" s="2">
        <v>7</v>
      </c>
      <c r="E492" s="2">
        <v>16</v>
      </c>
      <c r="F492" s="2">
        <f t="shared" si="68"/>
        <v>480</v>
      </c>
      <c r="G492" s="2">
        <v>10</v>
      </c>
      <c r="H492" s="2">
        <f t="shared" si="69"/>
        <v>4800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2.75">
      <c r="A493" s="9"/>
      <c r="B493" s="2"/>
      <c r="C493" s="2">
        <v>3</v>
      </c>
      <c r="D493" s="2">
        <v>8</v>
      </c>
      <c r="E493" s="2">
        <v>15</v>
      </c>
      <c r="F493" s="2">
        <f t="shared" si="68"/>
        <v>450</v>
      </c>
      <c r="G493" s="2">
        <v>10</v>
      </c>
      <c r="H493" s="2">
        <f t="shared" si="69"/>
        <v>4500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2.75">
      <c r="A494" s="9"/>
      <c r="B494" s="2"/>
      <c r="C494" s="2">
        <v>3</v>
      </c>
      <c r="D494" s="2">
        <v>9</v>
      </c>
      <c r="E494" s="2">
        <v>14</v>
      </c>
      <c r="F494" s="2">
        <f t="shared" si="68"/>
        <v>420</v>
      </c>
      <c r="G494" s="2">
        <v>10</v>
      </c>
      <c r="H494" s="2">
        <f t="shared" si="69"/>
        <v>4200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2.75">
      <c r="A495" s="9"/>
      <c r="B495" s="2"/>
      <c r="C495" s="2">
        <v>3</v>
      </c>
      <c r="D495" s="2">
        <v>10</v>
      </c>
      <c r="E495" s="2">
        <v>13</v>
      </c>
      <c r="F495" s="2">
        <f t="shared" si="68"/>
        <v>390</v>
      </c>
      <c r="G495" s="2">
        <v>11</v>
      </c>
      <c r="H495" s="2">
        <f t="shared" si="69"/>
        <v>4290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2.75">
      <c r="A496" s="9"/>
      <c r="B496" s="2"/>
      <c r="C496" s="2" t="s">
        <v>110</v>
      </c>
      <c r="D496" s="2" t="s">
        <v>105</v>
      </c>
      <c r="E496" s="2"/>
      <c r="F496" s="2">
        <f t="shared" si="68"/>
        <v>0</v>
      </c>
      <c r="G496" s="2">
        <v>20</v>
      </c>
      <c r="H496" s="2">
        <f t="shared" si="69"/>
        <v>0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2.75">
      <c r="A497" s="9"/>
      <c r="B497" s="332" t="s">
        <v>97</v>
      </c>
      <c r="C497" s="333"/>
      <c r="D497" s="4"/>
      <c r="E497" s="4"/>
      <c r="F497" s="4"/>
      <c r="G497" s="4">
        <f>SUM(G477:G496)</f>
        <v>116</v>
      </c>
      <c r="H497" s="4">
        <f>SUM(H477:H496)</f>
        <v>46770</v>
      </c>
      <c r="I497" s="4">
        <v>17</v>
      </c>
      <c r="J497" s="4">
        <f>I497*H497/1000</f>
        <v>795.09</v>
      </c>
      <c r="K497" s="4">
        <v>10</v>
      </c>
      <c r="L497" s="4">
        <v>2000</v>
      </c>
      <c r="M497" s="4">
        <f>L497*K497/1000</f>
        <v>20</v>
      </c>
      <c r="N497" s="4">
        <v>2</v>
      </c>
      <c r="O497" s="4">
        <v>500</v>
      </c>
      <c r="P497" s="4">
        <v>40</v>
      </c>
      <c r="Q497" s="4">
        <f>P497*O497*N497/1000</f>
        <v>40</v>
      </c>
      <c r="R497" s="4">
        <f>J497+M497+Q497</f>
        <v>855.09</v>
      </c>
    </row>
    <row r="498" spans="1:18" ht="12.75">
      <c r="A498" s="9"/>
      <c r="B498" s="2">
        <v>12</v>
      </c>
      <c r="C498" s="2">
        <v>1</v>
      </c>
      <c r="D498" s="2">
        <v>1</v>
      </c>
      <c r="E498" s="2">
        <v>12</v>
      </c>
      <c r="F498" s="2">
        <f>E498*30</f>
        <v>360</v>
      </c>
      <c r="G498" s="2">
        <v>2</v>
      </c>
      <c r="H498" s="2">
        <f>G498*F498</f>
        <v>720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2.75">
      <c r="A499" s="9"/>
      <c r="B499" s="2"/>
      <c r="C499" s="2">
        <v>1</v>
      </c>
      <c r="D499" s="2">
        <v>2</v>
      </c>
      <c r="E499" s="2">
        <v>18</v>
      </c>
      <c r="F499" s="2">
        <f aca="true" t="shared" si="70" ref="F499:F518">E499*30</f>
        <v>540</v>
      </c>
      <c r="G499" s="2">
        <v>2</v>
      </c>
      <c r="H499" s="2">
        <f aca="true" t="shared" si="71" ref="H499:H518">G499*F499</f>
        <v>1080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2.75">
      <c r="A500" s="9"/>
      <c r="B500" s="2"/>
      <c r="C500" s="2">
        <v>1</v>
      </c>
      <c r="D500" s="2">
        <v>3</v>
      </c>
      <c r="E500" s="2">
        <v>18</v>
      </c>
      <c r="F500" s="2">
        <f t="shared" si="70"/>
        <v>540</v>
      </c>
      <c r="G500" s="2">
        <v>2</v>
      </c>
      <c r="H500" s="2">
        <f t="shared" si="71"/>
        <v>1080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2.75">
      <c r="A501" s="9"/>
      <c r="B501" s="2"/>
      <c r="C501" s="2">
        <v>2</v>
      </c>
      <c r="D501" s="2">
        <v>1</v>
      </c>
      <c r="E501" s="2">
        <v>14</v>
      </c>
      <c r="F501" s="2">
        <f t="shared" si="70"/>
        <v>420</v>
      </c>
      <c r="G501" s="2">
        <v>3</v>
      </c>
      <c r="H501" s="2">
        <f t="shared" si="71"/>
        <v>1260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2.75">
      <c r="A502" s="9"/>
      <c r="B502" s="2"/>
      <c r="C502" s="2">
        <v>2</v>
      </c>
      <c r="D502" s="2">
        <v>2</v>
      </c>
      <c r="E502" s="2">
        <v>20</v>
      </c>
      <c r="F502" s="2">
        <f t="shared" si="70"/>
        <v>600</v>
      </c>
      <c r="G502" s="2">
        <v>3</v>
      </c>
      <c r="H502" s="2">
        <f t="shared" si="71"/>
        <v>1800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2.75">
      <c r="A503" s="9"/>
      <c r="B503" s="2"/>
      <c r="C503" s="2">
        <v>2</v>
      </c>
      <c r="D503" s="2">
        <v>3</v>
      </c>
      <c r="E503" s="2">
        <v>20</v>
      </c>
      <c r="F503" s="2">
        <f t="shared" si="70"/>
        <v>600</v>
      </c>
      <c r="G503" s="2">
        <v>3</v>
      </c>
      <c r="H503" s="2">
        <f t="shared" si="71"/>
        <v>1800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9"/>
      <c r="B504" s="2"/>
      <c r="C504" s="2">
        <v>2</v>
      </c>
      <c r="D504" s="2">
        <v>4</v>
      </c>
      <c r="E504" s="2">
        <v>19</v>
      </c>
      <c r="F504" s="2">
        <f t="shared" si="70"/>
        <v>570</v>
      </c>
      <c r="G504" s="2">
        <v>2</v>
      </c>
      <c r="H504" s="2">
        <f t="shared" si="71"/>
        <v>1140</v>
      </c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2.75">
      <c r="A505" s="9"/>
      <c r="B505" s="2"/>
      <c r="C505" s="2">
        <v>4</v>
      </c>
      <c r="D505" s="2">
        <v>1</v>
      </c>
      <c r="E505" s="2">
        <v>15</v>
      </c>
      <c r="F505" s="2">
        <f t="shared" si="70"/>
        <v>450</v>
      </c>
      <c r="G505" s="2">
        <v>9</v>
      </c>
      <c r="H505" s="2">
        <f t="shared" si="71"/>
        <v>4050</v>
      </c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2.75">
      <c r="A506" s="9"/>
      <c r="B506" s="2"/>
      <c r="C506" s="2">
        <v>4</v>
      </c>
      <c r="D506" s="2">
        <v>2</v>
      </c>
      <c r="E506" s="2">
        <v>21</v>
      </c>
      <c r="F506" s="2">
        <f t="shared" si="70"/>
        <v>630</v>
      </c>
      <c r="G506" s="2">
        <v>9</v>
      </c>
      <c r="H506" s="2">
        <f t="shared" si="71"/>
        <v>5670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2.75">
      <c r="A507" s="9"/>
      <c r="B507" s="2"/>
      <c r="C507" s="2">
        <v>4</v>
      </c>
      <c r="D507" s="2">
        <v>3</v>
      </c>
      <c r="E507" s="2">
        <v>21</v>
      </c>
      <c r="F507" s="2">
        <f t="shared" si="70"/>
        <v>630</v>
      </c>
      <c r="G507" s="2">
        <v>9</v>
      </c>
      <c r="H507" s="2">
        <f t="shared" si="71"/>
        <v>5670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2.75">
      <c r="A508" s="9"/>
      <c r="B508" s="2"/>
      <c r="C508" s="2">
        <v>4</v>
      </c>
      <c r="D508" s="2">
        <v>4</v>
      </c>
      <c r="E508" s="2">
        <v>19</v>
      </c>
      <c r="F508" s="2">
        <f t="shared" si="70"/>
        <v>570</v>
      </c>
      <c r="G508" s="2">
        <v>9</v>
      </c>
      <c r="H508" s="2">
        <f t="shared" si="71"/>
        <v>5130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2.75">
      <c r="A509" s="9"/>
      <c r="B509" s="2"/>
      <c r="C509" s="2">
        <v>4</v>
      </c>
      <c r="D509" s="2">
        <v>5</v>
      </c>
      <c r="E509" s="2">
        <v>18</v>
      </c>
      <c r="F509" s="2">
        <f t="shared" si="70"/>
        <v>540</v>
      </c>
      <c r="G509" s="2">
        <v>9</v>
      </c>
      <c r="H509" s="2">
        <f t="shared" si="71"/>
        <v>4860</v>
      </c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2.75">
      <c r="A510" s="9"/>
      <c r="B510" s="2"/>
      <c r="C510" s="2">
        <v>1</v>
      </c>
      <c r="D510" s="2">
        <v>9</v>
      </c>
      <c r="E510" s="2">
        <v>12</v>
      </c>
      <c r="F510" s="2">
        <f t="shared" si="70"/>
        <v>360</v>
      </c>
      <c r="G510" s="2">
        <v>0</v>
      </c>
      <c r="H510" s="2">
        <f t="shared" si="71"/>
        <v>0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2.75">
      <c r="A511" s="9"/>
      <c r="B511" s="2"/>
      <c r="C511" s="2">
        <v>1</v>
      </c>
      <c r="D511" s="2">
        <v>10</v>
      </c>
      <c r="E511" s="2">
        <v>10</v>
      </c>
      <c r="F511" s="2">
        <f t="shared" si="70"/>
        <v>300</v>
      </c>
      <c r="G511" s="2">
        <v>3</v>
      </c>
      <c r="H511" s="2">
        <f t="shared" si="71"/>
        <v>900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2.75">
      <c r="A512" s="9"/>
      <c r="B512" s="2"/>
      <c r="C512" s="2">
        <v>3</v>
      </c>
      <c r="D512" s="2">
        <v>5</v>
      </c>
      <c r="E512" s="2">
        <v>18</v>
      </c>
      <c r="F512" s="2">
        <f t="shared" si="70"/>
        <v>540</v>
      </c>
      <c r="G512" s="2">
        <v>0</v>
      </c>
      <c r="H512" s="2">
        <f t="shared" si="71"/>
        <v>0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2.75">
      <c r="A513" s="9"/>
      <c r="B513" s="2"/>
      <c r="C513" s="2">
        <v>3</v>
      </c>
      <c r="D513" s="2">
        <v>6</v>
      </c>
      <c r="E513" s="2">
        <v>17</v>
      </c>
      <c r="F513" s="2">
        <f t="shared" si="70"/>
        <v>510</v>
      </c>
      <c r="G513" s="2">
        <v>0</v>
      </c>
      <c r="H513" s="2">
        <f t="shared" si="71"/>
        <v>0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2.75">
      <c r="A514" s="9"/>
      <c r="B514" s="2"/>
      <c r="C514" s="2">
        <v>3</v>
      </c>
      <c r="D514" s="2">
        <v>7</v>
      </c>
      <c r="E514" s="2">
        <v>16</v>
      </c>
      <c r="F514" s="2">
        <f t="shared" si="70"/>
        <v>480</v>
      </c>
      <c r="G514" s="2">
        <v>0</v>
      </c>
      <c r="H514" s="2">
        <f t="shared" si="71"/>
        <v>0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2.75">
      <c r="A515" s="9"/>
      <c r="B515" s="2"/>
      <c r="C515" s="2">
        <v>3</v>
      </c>
      <c r="D515" s="2">
        <v>8</v>
      </c>
      <c r="E515" s="2">
        <v>15</v>
      </c>
      <c r="F515" s="2">
        <f t="shared" si="70"/>
        <v>450</v>
      </c>
      <c r="G515" s="2">
        <v>10</v>
      </c>
      <c r="H515" s="2">
        <f t="shared" si="71"/>
        <v>4500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2.75">
      <c r="A516" s="9"/>
      <c r="B516" s="2"/>
      <c r="C516" s="2">
        <v>3</v>
      </c>
      <c r="D516" s="2">
        <v>9</v>
      </c>
      <c r="E516" s="2">
        <v>14</v>
      </c>
      <c r="F516" s="2">
        <f t="shared" si="70"/>
        <v>420</v>
      </c>
      <c r="G516" s="2">
        <v>10</v>
      </c>
      <c r="H516" s="2">
        <f t="shared" si="71"/>
        <v>4200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2.75">
      <c r="A517" s="9"/>
      <c r="B517" s="2"/>
      <c r="C517" s="2">
        <v>3</v>
      </c>
      <c r="D517" s="2">
        <v>10</v>
      </c>
      <c r="E517" s="2">
        <v>13</v>
      </c>
      <c r="F517" s="2">
        <f t="shared" si="70"/>
        <v>390</v>
      </c>
      <c r="G517" s="2">
        <v>11</v>
      </c>
      <c r="H517" s="2">
        <f t="shared" si="71"/>
        <v>4290</v>
      </c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9"/>
      <c r="B518" s="2"/>
      <c r="C518" s="2" t="s">
        <v>110</v>
      </c>
      <c r="D518" s="2" t="s">
        <v>105</v>
      </c>
      <c r="E518" s="2"/>
      <c r="F518" s="2">
        <f t="shared" si="70"/>
        <v>0</v>
      </c>
      <c r="G518" s="2">
        <v>20</v>
      </c>
      <c r="H518" s="2">
        <f t="shared" si="71"/>
        <v>0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2.75">
      <c r="A519" s="9"/>
      <c r="B519" s="332" t="s">
        <v>98</v>
      </c>
      <c r="C519" s="333"/>
      <c r="D519" s="4"/>
      <c r="E519" s="4"/>
      <c r="F519" s="4"/>
      <c r="G519" s="4">
        <f>SUM(G498:G518)</f>
        <v>116</v>
      </c>
      <c r="H519" s="4">
        <f>SUM(H498:H518)</f>
        <v>48150</v>
      </c>
      <c r="I519" s="4">
        <v>17</v>
      </c>
      <c r="J519" s="4">
        <f>I519*H519/1000</f>
        <v>818.55</v>
      </c>
      <c r="K519" s="4">
        <v>10</v>
      </c>
      <c r="L519" s="4">
        <v>2000</v>
      </c>
      <c r="M519" s="4">
        <f>L519*K519/1000</f>
        <v>20</v>
      </c>
      <c r="N519" s="4">
        <v>2</v>
      </c>
      <c r="O519" s="4">
        <v>500</v>
      </c>
      <c r="P519" s="4">
        <v>40</v>
      </c>
      <c r="Q519" s="4">
        <f>P519*O519*N519/1000</f>
        <v>40</v>
      </c>
      <c r="R519" s="4">
        <f>J519+M519+Q519</f>
        <v>878.55</v>
      </c>
    </row>
    <row r="520" spans="1:18" ht="12.75">
      <c r="A520" s="334" t="s">
        <v>79</v>
      </c>
      <c r="B520" s="335"/>
      <c r="C520" s="336"/>
      <c r="D520" s="9"/>
      <c r="E520" s="9"/>
      <c r="F520" s="9"/>
      <c r="G520" s="9"/>
      <c r="H520" s="61">
        <f>H519+H497+H476+H455+H436+H416+H396+H376+H356+H338+H320+H303</f>
        <v>590040</v>
      </c>
      <c r="I520" s="9"/>
      <c r="J520" s="9">
        <f>J519+J497+J476+J455+J436+J416+J396+J376+J356+J338+J320+J303</f>
        <v>10030.680000000002</v>
      </c>
      <c r="K520" s="9">
        <f>K519+K497+K476+K455+K436+K416+K396+K376+K356+K338+K320+K303</f>
        <v>95</v>
      </c>
      <c r="L520" s="9"/>
      <c r="M520" s="9">
        <f>M519+M497+M476+M455+M436+M416+M396+M376+M356+M338+M320+M303</f>
        <v>190</v>
      </c>
      <c r="N520" s="9">
        <f>N519+N497+N476+N455+N436+N416+N396+N376+N356+N338+N320+N303</f>
        <v>15</v>
      </c>
      <c r="O520" s="9"/>
      <c r="P520" s="9"/>
      <c r="Q520" s="9">
        <f>Q519+Q497+Q476+Q455+Q436+Q416+Q396+Q376+Q356+Q338+Q320+Q303</f>
        <v>300</v>
      </c>
      <c r="R520" s="9">
        <f>R519+R497+R476+R455+R436+R416+R396+R376+R356+R338+R320+R303</f>
        <v>10520.680000000002</v>
      </c>
    </row>
    <row r="521" spans="1:18" ht="12.75" customHeight="1">
      <c r="A521" s="360" t="s">
        <v>0</v>
      </c>
      <c r="B521" s="360" t="s">
        <v>1</v>
      </c>
      <c r="C521" s="360" t="s">
        <v>84</v>
      </c>
      <c r="D521" s="360"/>
      <c r="E521" s="360"/>
      <c r="F521" s="360"/>
      <c r="G521" s="360"/>
      <c r="H521" s="360"/>
      <c r="I521" s="360"/>
      <c r="J521" s="360"/>
      <c r="K521" s="360" t="s">
        <v>148</v>
      </c>
      <c r="L521" s="360"/>
      <c r="M521" s="360"/>
      <c r="N521" s="360" t="s">
        <v>85</v>
      </c>
      <c r="O521" s="360"/>
      <c r="P521" s="360"/>
      <c r="Q521" s="360"/>
      <c r="R521" s="363" t="s">
        <v>182</v>
      </c>
    </row>
    <row r="522" spans="1:18" ht="63.75">
      <c r="A522" s="360"/>
      <c r="B522" s="360"/>
      <c r="C522" s="15" t="s">
        <v>86</v>
      </c>
      <c r="D522" s="15" t="s">
        <v>87</v>
      </c>
      <c r="E522" s="15" t="s">
        <v>88</v>
      </c>
      <c r="F522" s="15" t="s">
        <v>89</v>
      </c>
      <c r="G522" s="15" t="s">
        <v>90</v>
      </c>
      <c r="H522" s="15" t="s">
        <v>91</v>
      </c>
      <c r="I522" s="144" t="s">
        <v>180</v>
      </c>
      <c r="J522" s="144" t="s">
        <v>181</v>
      </c>
      <c r="K522" s="15" t="s">
        <v>92</v>
      </c>
      <c r="L522" s="144" t="s">
        <v>179</v>
      </c>
      <c r="M522" s="144" t="s">
        <v>181</v>
      </c>
      <c r="N522" s="15" t="s">
        <v>92</v>
      </c>
      <c r="O522" s="15" t="s">
        <v>93</v>
      </c>
      <c r="P522" s="144" t="s">
        <v>94</v>
      </c>
      <c r="Q522" s="144" t="s">
        <v>181</v>
      </c>
      <c r="R522" s="360"/>
    </row>
    <row r="523" spans="1:18" ht="12.75">
      <c r="A523" s="10">
        <v>5</v>
      </c>
      <c r="B523" s="2"/>
      <c r="C523" s="2">
        <v>1</v>
      </c>
      <c r="D523" s="2">
        <v>1</v>
      </c>
      <c r="E523" s="2">
        <v>12</v>
      </c>
      <c r="F523" s="2">
        <f>E523*30</f>
        <v>360</v>
      </c>
      <c r="G523" s="2">
        <v>2</v>
      </c>
      <c r="H523" s="2">
        <f>G523*F523</f>
        <v>720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10"/>
      <c r="B524" s="2"/>
      <c r="C524" s="2">
        <v>1</v>
      </c>
      <c r="D524" s="2">
        <v>2</v>
      </c>
      <c r="E524" s="2">
        <v>18</v>
      </c>
      <c r="F524" s="2">
        <f aca="true" t="shared" si="72" ref="F524:F544">E524*30</f>
        <v>540</v>
      </c>
      <c r="G524" s="2">
        <v>2</v>
      </c>
      <c r="H524" s="2">
        <f aca="true" t="shared" si="73" ref="H524:H544">G524*F524</f>
        <v>1080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2.75">
      <c r="A525" s="10"/>
      <c r="B525" s="2"/>
      <c r="C525" s="2">
        <v>1</v>
      </c>
      <c r="D525" s="2">
        <v>3</v>
      </c>
      <c r="E525" s="2">
        <v>18</v>
      </c>
      <c r="F525" s="2">
        <f t="shared" si="72"/>
        <v>540</v>
      </c>
      <c r="G525" s="2">
        <v>2</v>
      </c>
      <c r="H525" s="2">
        <f t="shared" si="73"/>
        <v>1080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2.75">
      <c r="A526" s="10"/>
      <c r="B526" s="2"/>
      <c r="C526" s="2">
        <v>1</v>
      </c>
      <c r="D526" s="2">
        <v>4</v>
      </c>
      <c r="E526" s="2">
        <v>17</v>
      </c>
      <c r="F526" s="2">
        <f t="shared" si="72"/>
        <v>510</v>
      </c>
      <c r="G526" s="2">
        <v>2</v>
      </c>
      <c r="H526" s="2">
        <f t="shared" si="73"/>
        <v>1020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2.75">
      <c r="A527" s="10"/>
      <c r="B527" s="2"/>
      <c r="C527" s="2">
        <v>2</v>
      </c>
      <c r="D527" s="2">
        <v>1</v>
      </c>
      <c r="E527" s="2">
        <v>14</v>
      </c>
      <c r="F527" s="2">
        <f t="shared" si="72"/>
        <v>420</v>
      </c>
      <c r="G527" s="2">
        <v>3</v>
      </c>
      <c r="H527" s="2">
        <f t="shared" si="73"/>
        <v>1260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2.75">
      <c r="A528" s="10"/>
      <c r="B528" s="2"/>
      <c r="C528" s="2">
        <v>2</v>
      </c>
      <c r="D528" s="2">
        <v>2</v>
      </c>
      <c r="E528" s="2">
        <v>20</v>
      </c>
      <c r="F528" s="2">
        <f t="shared" si="72"/>
        <v>600</v>
      </c>
      <c r="G528" s="2">
        <v>3</v>
      </c>
      <c r="H528" s="2">
        <f t="shared" si="73"/>
        <v>1800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2.75">
      <c r="A529" s="10"/>
      <c r="B529" s="2"/>
      <c r="C529" s="2">
        <v>2</v>
      </c>
      <c r="D529" s="2">
        <v>3</v>
      </c>
      <c r="E529" s="2">
        <v>20</v>
      </c>
      <c r="F529" s="2">
        <f t="shared" si="72"/>
        <v>600</v>
      </c>
      <c r="G529" s="2">
        <v>3</v>
      </c>
      <c r="H529" s="2">
        <f t="shared" si="73"/>
        <v>1800</v>
      </c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10"/>
      <c r="B530" s="2"/>
      <c r="C530" s="2">
        <v>2</v>
      </c>
      <c r="D530" s="2">
        <v>4</v>
      </c>
      <c r="E530" s="2">
        <v>19</v>
      </c>
      <c r="F530" s="2">
        <f t="shared" si="72"/>
        <v>570</v>
      </c>
      <c r="G530" s="2">
        <v>3</v>
      </c>
      <c r="H530" s="2">
        <f t="shared" si="73"/>
        <v>1710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10"/>
      <c r="B531" s="2"/>
      <c r="C531" s="2">
        <v>2</v>
      </c>
      <c r="D531" s="2">
        <v>5</v>
      </c>
      <c r="E531" s="2">
        <v>18</v>
      </c>
      <c r="F531" s="2">
        <f t="shared" si="72"/>
        <v>540</v>
      </c>
      <c r="G531" s="2">
        <v>3</v>
      </c>
      <c r="H531" s="2">
        <f t="shared" si="73"/>
        <v>1620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10"/>
      <c r="B532" s="2"/>
      <c r="C532" s="2">
        <v>4</v>
      </c>
      <c r="D532" s="2">
        <v>1</v>
      </c>
      <c r="E532" s="2">
        <v>15</v>
      </c>
      <c r="F532" s="2">
        <f t="shared" si="72"/>
        <v>450</v>
      </c>
      <c r="G532" s="2">
        <v>9</v>
      </c>
      <c r="H532" s="2">
        <f t="shared" si="73"/>
        <v>4050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10"/>
      <c r="B533" s="2"/>
      <c r="C533" s="2">
        <v>4</v>
      </c>
      <c r="D533" s="2">
        <v>2</v>
      </c>
      <c r="E533" s="2">
        <v>21</v>
      </c>
      <c r="F533" s="2">
        <f t="shared" si="72"/>
        <v>630</v>
      </c>
      <c r="G533" s="2">
        <v>9</v>
      </c>
      <c r="H533" s="2">
        <f t="shared" si="73"/>
        <v>5670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2.75">
      <c r="A534" s="10"/>
      <c r="B534" s="2"/>
      <c r="C534" s="2">
        <v>4</v>
      </c>
      <c r="D534" s="2">
        <v>3</v>
      </c>
      <c r="E534" s="2">
        <v>21</v>
      </c>
      <c r="F534" s="2">
        <f t="shared" si="72"/>
        <v>630</v>
      </c>
      <c r="G534" s="2">
        <v>9</v>
      </c>
      <c r="H534" s="2">
        <f t="shared" si="73"/>
        <v>5670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10"/>
      <c r="B535" s="2"/>
      <c r="C535" s="2">
        <v>4</v>
      </c>
      <c r="D535" s="2">
        <v>4</v>
      </c>
      <c r="E535" s="2">
        <v>19</v>
      </c>
      <c r="F535" s="2">
        <f t="shared" si="72"/>
        <v>570</v>
      </c>
      <c r="G535" s="2">
        <v>9</v>
      </c>
      <c r="H535" s="2">
        <f t="shared" si="73"/>
        <v>5130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10"/>
      <c r="B536" s="2"/>
      <c r="C536" s="2">
        <v>4</v>
      </c>
      <c r="D536" s="2">
        <v>5</v>
      </c>
      <c r="E536" s="2">
        <v>18</v>
      </c>
      <c r="F536" s="2">
        <f t="shared" si="72"/>
        <v>540</v>
      </c>
      <c r="G536" s="2">
        <v>9</v>
      </c>
      <c r="H536" s="2">
        <f t="shared" si="73"/>
        <v>4860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10"/>
      <c r="B537" s="2"/>
      <c r="C537" s="2">
        <v>4</v>
      </c>
      <c r="D537" s="2">
        <v>6</v>
      </c>
      <c r="E537" s="2">
        <v>17</v>
      </c>
      <c r="F537" s="2">
        <f t="shared" si="72"/>
        <v>510</v>
      </c>
      <c r="G537" s="2">
        <v>9</v>
      </c>
      <c r="H537" s="2">
        <f t="shared" si="73"/>
        <v>4590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2.75">
      <c r="A538" s="10"/>
      <c r="B538" s="2"/>
      <c r="C538" s="2">
        <v>1</v>
      </c>
      <c r="D538" s="2">
        <v>10</v>
      </c>
      <c r="E538" s="2">
        <v>10</v>
      </c>
      <c r="F538" s="2">
        <f t="shared" si="72"/>
        <v>300</v>
      </c>
      <c r="G538" s="2">
        <v>0</v>
      </c>
      <c r="H538" s="2">
        <f t="shared" si="73"/>
        <v>0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2.75">
      <c r="A539" s="10"/>
      <c r="B539" s="2"/>
      <c r="C539" s="2">
        <v>3</v>
      </c>
      <c r="D539" s="2">
        <v>6</v>
      </c>
      <c r="E539" s="2">
        <v>17</v>
      </c>
      <c r="F539" s="2">
        <f t="shared" si="72"/>
        <v>510</v>
      </c>
      <c r="G539" s="2">
        <v>0</v>
      </c>
      <c r="H539" s="2">
        <f t="shared" si="73"/>
        <v>0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2.75">
      <c r="A540" s="10"/>
      <c r="B540" s="2"/>
      <c r="C540" s="2">
        <v>3</v>
      </c>
      <c r="D540" s="2">
        <v>7</v>
      </c>
      <c r="E540" s="2">
        <v>16</v>
      </c>
      <c r="F540" s="2">
        <f t="shared" si="72"/>
        <v>480</v>
      </c>
      <c r="G540" s="2">
        <v>0</v>
      </c>
      <c r="H540" s="2">
        <f t="shared" si="73"/>
        <v>0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10"/>
      <c r="B541" s="2"/>
      <c r="C541" s="2">
        <v>3</v>
      </c>
      <c r="D541" s="2">
        <v>8</v>
      </c>
      <c r="E541" s="2">
        <v>15</v>
      </c>
      <c r="F541" s="2">
        <f t="shared" si="72"/>
        <v>450</v>
      </c>
      <c r="G541" s="2">
        <v>0</v>
      </c>
      <c r="H541" s="2">
        <f t="shared" si="73"/>
        <v>0</v>
      </c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10"/>
      <c r="B542" s="2"/>
      <c r="C542" s="2">
        <v>3</v>
      </c>
      <c r="D542" s="2">
        <v>9</v>
      </c>
      <c r="E542" s="2">
        <v>14</v>
      </c>
      <c r="F542" s="2">
        <f t="shared" si="72"/>
        <v>420</v>
      </c>
      <c r="G542" s="2">
        <v>10</v>
      </c>
      <c r="H542" s="2">
        <f t="shared" si="73"/>
        <v>4200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10"/>
      <c r="B543" s="2"/>
      <c r="C543" s="2">
        <v>3</v>
      </c>
      <c r="D543" s="2">
        <v>10</v>
      </c>
      <c r="E543" s="2">
        <v>13</v>
      </c>
      <c r="F543" s="2">
        <f t="shared" si="72"/>
        <v>390</v>
      </c>
      <c r="G543" s="2">
        <v>9</v>
      </c>
      <c r="H543" s="2">
        <f t="shared" si="73"/>
        <v>3510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10"/>
      <c r="B544" s="2"/>
      <c r="C544" s="2" t="s">
        <v>110</v>
      </c>
      <c r="D544" s="2" t="s">
        <v>105</v>
      </c>
      <c r="E544" s="2"/>
      <c r="F544" s="2">
        <f t="shared" si="72"/>
        <v>0</v>
      </c>
      <c r="G544" s="2">
        <v>20</v>
      </c>
      <c r="H544" s="2">
        <f t="shared" si="73"/>
        <v>0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10"/>
      <c r="B545" s="332" t="s">
        <v>99</v>
      </c>
      <c r="C545" s="333"/>
      <c r="D545" s="4"/>
      <c r="E545" s="4"/>
      <c r="F545" s="4"/>
      <c r="G545" s="4">
        <f>SUM(G523:G544)</f>
        <v>116</v>
      </c>
      <c r="H545" s="146">
        <f>SUM(H523:H544)</f>
        <v>49770</v>
      </c>
      <c r="I545" s="4">
        <v>17</v>
      </c>
      <c r="J545" s="4">
        <f>I545*H545/1000</f>
        <v>846.09</v>
      </c>
      <c r="K545" s="4">
        <v>10</v>
      </c>
      <c r="L545" s="4">
        <v>2000</v>
      </c>
      <c r="M545" s="4">
        <f>L545*K545/1000</f>
        <v>20</v>
      </c>
      <c r="N545" s="4">
        <v>2</v>
      </c>
      <c r="O545" s="4">
        <v>500</v>
      </c>
      <c r="P545" s="4">
        <v>40</v>
      </c>
      <c r="Q545" s="4">
        <f>P545*O545*N545/1000</f>
        <v>40</v>
      </c>
      <c r="R545" s="4">
        <f>J545+M545+Q545</f>
        <v>906.09</v>
      </c>
    </row>
    <row r="546" spans="1:18" ht="12.75">
      <c r="A546" s="10"/>
      <c r="B546" s="2" t="s">
        <v>111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365" t="s">
        <v>81</v>
      </c>
      <c r="B547" s="365"/>
      <c r="C547" s="365"/>
      <c r="D547" s="10"/>
      <c r="E547" s="10"/>
      <c r="F547" s="10"/>
      <c r="G547" s="10"/>
      <c r="H547" s="68">
        <f>H545*12</f>
        <v>597240</v>
      </c>
      <c r="I547" s="10"/>
      <c r="J547" s="10">
        <f aca="true" t="shared" si="74" ref="J547:R547">J545*12</f>
        <v>10153.08</v>
      </c>
      <c r="K547" s="10">
        <f t="shared" si="74"/>
        <v>120</v>
      </c>
      <c r="L547" s="10"/>
      <c r="M547" s="10">
        <f t="shared" si="74"/>
        <v>240</v>
      </c>
      <c r="N547" s="10">
        <f t="shared" si="74"/>
        <v>24</v>
      </c>
      <c r="O547" s="10"/>
      <c r="P547" s="10"/>
      <c r="Q547" s="10">
        <f t="shared" si="74"/>
        <v>480</v>
      </c>
      <c r="R547" s="10">
        <f t="shared" si="74"/>
        <v>10873.08</v>
      </c>
    </row>
    <row r="548" spans="1:18" ht="12.75">
      <c r="A548" s="364" t="s">
        <v>296</v>
      </c>
      <c r="B548" s="364"/>
      <c r="C548" s="364"/>
      <c r="D548" s="364"/>
      <c r="E548" s="364"/>
      <c r="F548" s="364"/>
      <c r="G548" s="364"/>
      <c r="H548" s="364"/>
      <c r="I548" s="364"/>
      <c r="J548" s="364"/>
      <c r="K548" s="364"/>
      <c r="L548" s="11"/>
      <c r="M548" s="11"/>
      <c r="N548" s="11"/>
      <c r="O548" s="11"/>
      <c r="P548" s="11"/>
      <c r="Q548" s="11"/>
      <c r="R548" s="11"/>
    </row>
  </sheetData>
  <sheetProtection/>
  <mergeCells count="81">
    <mergeCell ref="N3:Q3"/>
    <mergeCell ref="R3:R4"/>
    <mergeCell ref="A3:A4"/>
    <mergeCell ref="B3:B4"/>
    <mergeCell ref="C3:J3"/>
    <mergeCell ref="K3:M3"/>
    <mergeCell ref="B13:B14"/>
    <mergeCell ref="B15:C15"/>
    <mergeCell ref="B182:C182"/>
    <mergeCell ref="B194:C194"/>
    <mergeCell ref="B16:B18"/>
    <mergeCell ref="B19:C19"/>
    <mergeCell ref="B20:B23"/>
    <mergeCell ref="B24:C24"/>
    <mergeCell ref="B95:C95"/>
    <mergeCell ref="B104:C104"/>
    <mergeCell ref="B161:C161"/>
    <mergeCell ref="B171:C171"/>
    <mergeCell ref="B75:C75"/>
    <mergeCell ref="B85:C85"/>
    <mergeCell ref="B113:C113"/>
    <mergeCell ref="B122:C122"/>
    <mergeCell ref="B30:C30"/>
    <mergeCell ref="A31:C31"/>
    <mergeCell ref="B40:C40"/>
    <mergeCell ref="B48:C48"/>
    <mergeCell ref="B57:C57"/>
    <mergeCell ref="B66:C66"/>
    <mergeCell ref="B416:C416"/>
    <mergeCell ref="B436:C436"/>
    <mergeCell ref="B131:C131"/>
    <mergeCell ref="B140:C140"/>
    <mergeCell ref="A141:C141"/>
    <mergeCell ref="B152:C152"/>
    <mergeCell ref="B303:C303"/>
    <mergeCell ref="B320:C320"/>
    <mergeCell ref="B242:C242"/>
    <mergeCell ref="B255:C255"/>
    <mergeCell ref="B269:C269"/>
    <mergeCell ref="A286:A287"/>
    <mergeCell ref="A1:J1"/>
    <mergeCell ref="B545:C545"/>
    <mergeCell ref="A547:C547"/>
    <mergeCell ref="B455:C455"/>
    <mergeCell ref="B476:C476"/>
    <mergeCell ref="B497:C497"/>
    <mergeCell ref="B519:C519"/>
    <mergeCell ref="A520:C520"/>
    <mergeCell ref="B338:C338"/>
    <mergeCell ref="B356:C356"/>
    <mergeCell ref="A142:A143"/>
    <mergeCell ref="B142:B143"/>
    <mergeCell ref="C142:J142"/>
    <mergeCell ref="K142:M142"/>
    <mergeCell ref="A32:A33"/>
    <mergeCell ref="B32:B33"/>
    <mergeCell ref="C32:J32"/>
    <mergeCell ref="K32:M32"/>
    <mergeCell ref="N521:Q521"/>
    <mergeCell ref="R521:R522"/>
    <mergeCell ref="B206:C206"/>
    <mergeCell ref="A548:K548"/>
    <mergeCell ref="B218:C218"/>
    <mergeCell ref="B284:C284"/>
    <mergeCell ref="A285:C285"/>
    <mergeCell ref="B376:C376"/>
    <mergeCell ref="B396:C396"/>
    <mergeCell ref="B230:C230"/>
    <mergeCell ref="A521:A522"/>
    <mergeCell ref="B521:B522"/>
    <mergeCell ref="C521:J521"/>
    <mergeCell ref="K521:M521"/>
    <mergeCell ref="R286:R287"/>
    <mergeCell ref="N142:Q142"/>
    <mergeCell ref="R142:R143"/>
    <mergeCell ref="R32:R33"/>
    <mergeCell ref="N32:Q32"/>
    <mergeCell ref="B286:B287"/>
    <mergeCell ref="C286:J286"/>
    <mergeCell ref="K286:M286"/>
    <mergeCell ref="N286:Q28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23" r:id="rId3"/>
  <rowBreaks count="4" manualBreakCount="4">
    <brk id="31" max="255" man="1"/>
    <brk id="141" max="17" man="1"/>
    <brk id="285" max="17" man="1"/>
    <brk id="520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D59"/>
  <sheetViews>
    <sheetView view="pageBreakPreview" zoomScale="60" zoomScaleNormal="55" workbookViewId="0" topLeftCell="A1">
      <selection activeCell="O50" sqref="O50"/>
    </sheetView>
  </sheetViews>
  <sheetFormatPr defaultColWidth="9.140625" defaultRowHeight="12.75"/>
  <cols>
    <col min="28" max="28" width="11.140625" style="0" customWidth="1"/>
  </cols>
  <sheetData>
    <row r="1" spans="1:9" ht="13.5" thickBot="1">
      <c r="A1" s="372" t="s">
        <v>246</v>
      </c>
      <c r="B1" s="372"/>
      <c r="C1" s="372"/>
      <c r="D1" s="372"/>
      <c r="E1" s="372"/>
      <c r="F1" s="372"/>
      <c r="G1" s="372"/>
      <c r="H1" s="372"/>
      <c r="I1" s="372"/>
    </row>
    <row r="2" spans="1:30" ht="13.5" thickBot="1">
      <c r="A2" s="373" t="s">
        <v>0</v>
      </c>
      <c r="B2" s="376" t="s">
        <v>1</v>
      </c>
      <c r="C2" s="379" t="s">
        <v>112</v>
      </c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80"/>
      <c r="X2" s="381" t="s">
        <v>113</v>
      </c>
      <c r="Y2" s="384" t="s">
        <v>114</v>
      </c>
      <c r="Z2" s="385"/>
      <c r="AA2" s="386"/>
      <c r="AB2" s="387" t="s">
        <v>115</v>
      </c>
      <c r="AC2" s="385"/>
      <c r="AD2" s="388"/>
    </row>
    <row r="3" spans="1:30" ht="13.5" thickBot="1">
      <c r="A3" s="374"/>
      <c r="B3" s="377"/>
      <c r="C3" s="389" t="s">
        <v>7</v>
      </c>
      <c r="D3" s="390"/>
      <c r="E3" s="390"/>
      <c r="F3" s="390" t="s">
        <v>8</v>
      </c>
      <c r="G3" s="390"/>
      <c r="H3" s="390"/>
      <c r="I3" s="390" t="s">
        <v>9</v>
      </c>
      <c r="J3" s="390"/>
      <c r="K3" s="390"/>
      <c r="L3" s="390" t="s">
        <v>10</v>
      </c>
      <c r="M3" s="390"/>
      <c r="N3" s="390"/>
      <c r="O3" s="390" t="s">
        <v>11</v>
      </c>
      <c r="P3" s="390"/>
      <c r="Q3" s="390"/>
      <c r="R3" s="390" t="s">
        <v>12</v>
      </c>
      <c r="S3" s="390"/>
      <c r="T3" s="390"/>
      <c r="U3" s="390" t="s">
        <v>116</v>
      </c>
      <c r="V3" s="390"/>
      <c r="W3" s="391"/>
      <c r="X3" s="382"/>
      <c r="Y3" s="21" t="s">
        <v>117</v>
      </c>
      <c r="Z3" s="22" t="s">
        <v>118</v>
      </c>
      <c r="AA3" s="23" t="s">
        <v>119</v>
      </c>
      <c r="AB3" s="24" t="s">
        <v>120</v>
      </c>
      <c r="AC3" s="25" t="s">
        <v>118</v>
      </c>
      <c r="AD3" s="26" t="s">
        <v>121</v>
      </c>
    </row>
    <row r="4" spans="1:30" ht="13.5" thickBot="1">
      <c r="A4" s="375"/>
      <c r="B4" s="378"/>
      <c r="C4" s="27" t="s">
        <v>118</v>
      </c>
      <c r="D4" s="27" t="s">
        <v>120</v>
      </c>
      <c r="E4" s="27" t="s">
        <v>121</v>
      </c>
      <c r="F4" s="27" t="s">
        <v>118</v>
      </c>
      <c r="G4" s="27" t="s">
        <v>120</v>
      </c>
      <c r="H4" s="27" t="s">
        <v>121</v>
      </c>
      <c r="I4" s="27" t="s">
        <v>118</v>
      </c>
      <c r="J4" s="27" t="s">
        <v>120</v>
      </c>
      <c r="K4" s="27" t="s">
        <v>121</v>
      </c>
      <c r="L4" s="27" t="s">
        <v>118</v>
      </c>
      <c r="M4" s="27" t="s">
        <v>120</v>
      </c>
      <c r="N4" s="27" t="s">
        <v>121</v>
      </c>
      <c r="O4" s="27" t="s">
        <v>118</v>
      </c>
      <c r="P4" s="27" t="s">
        <v>120</v>
      </c>
      <c r="Q4" s="27" t="s">
        <v>121</v>
      </c>
      <c r="R4" s="27" t="s">
        <v>118</v>
      </c>
      <c r="S4" s="27" t="s">
        <v>120</v>
      </c>
      <c r="T4" s="27" t="s">
        <v>121</v>
      </c>
      <c r="U4" s="27" t="s">
        <v>118</v>
      </c>
      <c r="V4" s="27" t="s">
        <v>117</v>
      </c>
      <c r="W4" s="28" t="s">
        <v>121</v>
      </c>
      <c r="X4" s="383"/>
      <c r="Y4" s="29"/>
      <c r="Z4" s="30"/>
      <c r="AA4" s="31"/>
      <c r="AB4" s="32"/>
      <c r="AC4" s="30"/>
      <c r="AD4" s="33"/>
    </row>
    <row r="5" spans="1:30" ht="12.75">
      <c r="A5" s="34">
        <v>1</v>
      </c>
      <c r="B5" s="35">
        <v>1</v>
      </c>
      <c r="C5" s="35">
        <v>0.122</v>
      </c>
      <c r="D5" s="35">
        <f>'потребность в кормах'!E5</f>
        <v>9180</v>
      </c>
      <c r="E5" s="80">
        <f>D5*C5/1000</f>
        <v>1.11996</v>
      </c>
      <c r="F5" s="35">
        <v>0.178</v>
      </c>
      <c r="G5" s="35">
        <f>'потребность в кормах'!F5</f>
        <v>7560</v>
      </c>
      <c r="H5" s="80">
        <f>G5*F5/1000</f>
        <v>1.3456799999999998</v>
      </c>
      <c r="I5" s="35">
        <v>0.327</v>
      </c>
      <c r="J5" s="35">
        <f>'потребность в кормах'!G5</f>
        <v>2160</v>
      </c>
      <c r="K5" s="80">
        <f>J5*I5/1000</f>
        <v>0.7063200000000001</v>
      </c>
      <c r="L5" s="35">
        <v>8</v>
      </c>
      <c r="M5" s="35">
        <f>'потребность в кормах'!H5</f>
        <v>0</v>
      </c>
      <c r="N5" s="80">
        <f>M5*L5/1000</f>
        <v>0</v>
      </c>
      <c r="O5" s="35">
        <v>6</v>
      </c>
      <c r="P5" s="35">
        <f>'потребность в кормах'!I5</f>
        <v>1836</v>
      </c>
      <c r="Q5" s="80">
        <f>P5*O5/1000</f>
        <v>11.016</v>
      </c>
      <c r="R5" s="35">
        <v>6</v>
      </c>
      <c r="S5" s="35">
        <f>'потребность в кормах'!J5</f>
        <v>0</v>
      </c>
      <c r="T5" s="80">
        <f>S5*R5/1000</f>
        <v>0</v>
      </c>
      <c r="U5" s="35">
        <v>7</v>
      </c>
      <c r="V5" s="35">
        <f>'потребность в кормах'!K5</f>
        <v>0</v>
      </c>
      <c r="W5" s="36">
        <f>V5*U5/1000</f>
        <v>0</v>
      </c>
      <c r="X5" s="37">
        <f>W5+T5+Q5+N5+K5+H5+E5</f>
        <v>14.18796</v>
      </c>
      <c r="Y5" s="38">
        <f>'потребность в кормах'!L5</f>
        <v>43200</v>
      </c>
      <c r="Z5" s="36">
        <v>0.0108</v>
      </c>
      <c r="AA5" s="39">
        <f>Z5*Y5/1000</f>
        <v>0.46656</v>
      </c>
      <c r="AB5" s="40">
        <f>'потребность в кормах'!N5</f>
        <v>4320</v>
      </c>
      <c r="AC5" s="36">
        <v>0.5</v>
      </c>
      <c r="AD5" s="37">
        <f>AC5*AB5/1000</f>
        <v>2.16</v>
      </c>
    </row>
    <row r="6" spans="1:30" ht="12.75">
      <c r="A6" s="16"/>
      <c r="B6" s="2">
        <v>2</v>
      </c>
      <c r="C6" s="35">
        <v>0.122</v>
      </c>
      <c r="D6" s="2">
        <f>'потребность в кормах'!E6</f>
        <v>9180</v>
      </c>
      <c r="E6" s="79">
        <f aca="true" t="shared" si="0" ref="E6:E58">D6*C6/1000</f>
        <v>1.11996</v>
      </c>
      <c r="F6" s="35">
        <v>0.178</v>
      </c>
      <c r="G6" s="2">
        <f>'потребность в кормах'!F6</f>
        <v>7560</v>
      </c>
      <c r="H6" s="79">
        <f aca="true" t="shared" si="1" ref="H6:H58">G6*F6/1000</f>
        <v>1.3456799999999998</v>
      </c>
      <c r="I6" s="35">
        <v>0.327</v>
      </c>
      <c r="J6" s="2">
        <f>'потребность в кормах'!G6</f>
        <v>2160</v>
      </c>
      <c r="K6" s="79">
        <f aca="true" t="shared" si="2" ref="K6:K58">J6*I6/1000</f>
        <v>0.7063200000000001</v>
      </c>
      <c r="L6" s="35">
        <v>8</v>
      </c>
      <c r="M6" s="2">
        <f>'потребность в кормах'!H6</f>
        <v>0</v>
      </c>
      <c r="N6" s="79">
        <f aca="true" t="shared" si="3" ref="N6:N58">M6*L6/1000</f>
        <v>0</v>
      </c>
      <c r="O6" s="2">
        <v>6</v>
      </c>
      <c r="P6" s="2">
        <f>'потребность в кормах'!I6</f>
        <v>1836</v>
      </c>
      <c r="Q6" s="79">
        <f aca="true" t="shared" si="4" ref="Q6:Q58">P6*O6/1000</f>
        <v>11.016</v>
      </c>
      <c r="R6" s="2">
        <v>6</v>
      </c>
      <c r="S6" s="2">
        <f>'потребность в кормах'!J6</f>
        <v>0</v>
      </c>
      <c r="T6" s="79">
        <f aca="true" t="shared" si="5" ref="T6:T58">S6*R6/1000</f>
        <v>0</v>
      </c>
      <c r="U6" s="35">
        <v>7</v>
      </c>
      <c r="V6" s="2">
        <f>'потребность в кормах'!K6</f>
        <v>0</v>
      </c>
      <c r="W6" s="22">
        <f aca="true" t="shared" si="6" ref="W6:W58">V6*U6/1000</f>
        <v>0</v>
      </c>
      <c r="X6" s="41">
        <f aca="true" t="shared" si="7" ref="X6:X58">W6+T6+Q6+N6+K6+H6+E6</f>
        <v>14.18796</v>
      </c>
      <c r="Y6" s="21">
        <f>'потребность в кормах'!L6</f>
        <v>43200</v>
      </c>
      <c r="Z6" s="36">
        <v>0.0108</v>
      </c>
      <c r="AA6" s="39">
        <f aca="true" t="shared" si="8" ref="AA6:AA58">Z6*Y6/1000</f>
        <v>0.46656</v>
      </c>
      <c r="AB6" s="42">
        <f>'потребность в кормах'!N6</f>
        <v>4320</v>
      </c>
      <c r="AC6" s="36">
        <v>0.5</v>
      </c>
      <c r="AD6" s="37">
        <f aca="true" t="shared" si="9" ref="AD6:AD58">AC6*AB6/1000</f>
        <v>2.16</v>
      </c>
    </row>
    <row r="7" spans="1:30" ht="12.75">
      <c r="A7" s="16"/>
      <c r="B7" s="2">
        <v>3</v>
      </c>
      <c r="C7" s="35">
        <v>0.122</v>
      </c>
      <c r="D7" s="2">
        <f>'потребность в кормах'!E9</f>
        <v>18360</v>
      </c>
      <c r="E7" s="79">
        <f t="shared" si="0"/>
        <v>2.23992</v>
      </c>
      <c r="F7" s="35">
        <v>0.178</v>
      </c>
      <c r="G7" s="2">
        <f>'потребность в кормах'!F9</f>
        <v>16200</v>
      </c>
      <c r="H7" s="79">
        <f t="shared" si="1"/>
        <v>2.8836</v>
      </c>
      <c r="I7" s="35">
        <v>0.327</v>
      </c>
      <c r="J7" s="2">
        <f>'потребность в кормах'!G9</f>
        <v>4860</v>
      </c>
      <c r="K7" s="79">
        <f t="shared" si="2"/>
        <v>1.58922</v>
      </c>
      <c r="L7" s="35">
        <v>8</v>
      </c>
      <c r="M7" s="2">
        <f>'потребность в кормах'!H9</f>
        <v>0</v>
      </c>
      <c r="N7" s="79">
        <f t="shared" si="3"/>
        <v>0</v>
      </c>
      <c r="O7" s="2">
        <v>6</v>
      </c>
      <c r="P7" s="2">
        <f>'потребность в кормах'!I9</f>
        <v>3996</v>
      </c>
      <c r="Q7" s="79">
        <f t="shared" si="4"/>
        <v>23.976</v>
      </c>
      <c r="R7" s="2">
        <v>6</v>
      </c>
      <c r="S7" s="2">
        <f>'потребность в кормах'!J9</f>
        <v>0</v>
      </c>
      <c r="T7" s="79">
        <f t="shared" si="5"/>
        <v>0</v>
      </c>
      <c r="U7" s="35">
        <v>7</v>
      </c>
      <c r="V7" s="2">
        <f>'потребность в кормах'!K9</f>
        <v>0</v>
      </c>
      <c r="W7" s="22">
        <f t="shared" si="6"/>
        <v>0</v>
      </c>
      <c r="X7" s="41">
        <f t="shared" si="7"/>
        <v>30.688740000000003</v>
      </c>
      <c r="Y7" s="21">
        <f>'потребность в кормах'!L9</f>
        <v>86400</v>
      </c>
      <c r="Z7" s="36">
        <v>0.0108</v>
      </c>
      <c r="AA7" s="39">
        <f t="shared" si="8"/>
        <v>0.93312</v>
      </c>
      <c r="AB7" s="42">
        <f>'потребность в кормах'!N9</f>
        <v>8640</v>
      </c>
      <c r="AC7" s="36">
        <v>0.5</v>
      </c>
      <c r="AD7" s="37">
        <f t="shared" si="9"/>
        <v>4.32</v>
      </c>
    </row>
    <row r="8" spans="1:30" ht="12.75">
      <c r="A8" s="16"/>
      <c r="B8" s="2">
        <v>4</v>
      </c>
      <c r="C8" s="35">
        <v>0.122</v>
      </c>
      <c r="D8" s="2">
        <f>'потребность в кормах'!E12</f>
        <v>18360</v>
      </c>
      <c r="E8" s="79">
        <f t="shared" si="0"/>
        <v>2.23992</v>
      </c>
      <c r="F8" s="35">
        <v>0.178</v>
      </c>
      <c r="G8" s="2">
        <f>'потребность в кормах'!F12</f>
        <v>16200</v>
      </c>
      <c r="H8" s="79">
        <f t="shared" si="1"/>
        <v>2.8836</v>
      </c>
      <c r="I8" s="35">
        <v>0.327</v>
      </c>
      <c r="J8" s="2">
        <f>'потребность в кормах'!G12</f>
        <v>4860</v>
      </c>
      <c r="K8" s="79">
        <f t="shared" si="2"/>
        <v>1.58922</v>
      </c>
      <c r="L8" s="35">
        <v>8</v>
      </c>
      <c r="M8" s="2">
        <f>'потребность в кормах'!H12</f>
        <v>0</v>
      </c>
      <c r="N8" s="79">
        <f t="shared" si="3"/>
        <v>0</v>
      </c>
      <c r="O8" s="2">
        <v>6</v>
      </c>
      <c r="P8" s="2">
        <f>'потребность в кормах'!I12</f>
        <v>3996</v>
      </c>
      <c r="Q8" s="79">
        <f t="shared" si="4"/>
        <v>23.976</v>
      </c>
      <c r="R8" s="2">
        <v>6</v>
      </c>
      <c r="S8" s="2">
        <f>'потребность в кормах'!J12</f>
        <v>0</v>
      </c>
      <c r="T8" s="79">
        <f t="shared" si="5"/>
        <v>0</v>
      </c>
      <c r="U8" s="35">
        <v>6</v>
      </c>
      <c r="V8" s="2">
        <f>'потребность в кормах'!K12</f>
        <v>0</v>
      </c>
      <c r="W8" s="22">
        <f t="shared" si="6"/>
        <v>0</v>
      </c>
      <c r="X8" s="41">
        <f t="shared" si="7"/>
        <v>30.688740000000003</v>
      </c>
      <c r="Y8" s="21">
        <f>'потребность в кормах'!L12</f>
        <v>86400</v>
      </c>
      <c r="Z8" s="36">
        <v>0.0108</v>
      </c>
      <c r="AA8" s="39">
        <f t="shared" si="8"/>
        <v>0.93312</v>
      </c>
      <c r="AB8" s="42">
        <f>'потребность в кормах'!N12</f>
        <v>8640</v>
      </c>
      <c r="AC8" s="36">
        <v>0.5</v>
      </c>
      <c r="AD8" s="37">
        <f t="shared" si="9"/>
        <v>4.32</v>
      </c>
    </row>
    <row r="9" spans="1:30" ht="12.75">
      <c r="A9" s="16"/>
      <c r="B9" s="2">
        <v>5</v>
      </c>
      <c r="C9" s="35">
        <v>0.122</v>
      </c>
      <c r="D9" s="2">
        <f>'потребность в кормах'!E16</f>
        <v>27540</v>
      </c>
      <c r="E9" s="79">
        <f t="shared" si="0"/>
        <v>3.35988</v>
      </c>
      <c r="F9" s="35">
        <v>0.178</v>
      </c>
      <c r="G9" s="2">
        <f>'потребность в кормах'!F16</f>
        <v>24840</v>
      </c>
      <c r="H9" s="79">
        <f t="shared" si="1"/>
        <v>4.421519999999999</v>
      </c>
      <c r="I9" s="35">
        <v>0.327</v>
      </c>
      <c r="J9" s="2">
        <f>'потребность в кормах'!G16</f>
        <v>7560</v>
      </c>
      <c r="K9" s="79">
        <f t="shared" si="2"/>
        <v>2.47212</v>
      </c>
      <c r="L9" s="35">
        <v>8</v>
      </c>
      <c r="M9" s="2">
        <f>'потребность в кормах'!H16</f>
        <v>0</v>
      </c>
      <c r="N9" s="79">
        <f t="shared" si="3"/>
        <v>0</v>
      </c>
      <c r="O9" s="2">
        <v>6</v>
      </c>
      <c r="P9" s="2">
        <f>'потребность в кормах'!I16</f>
        <v>6156</v>
      </c>
      <c r="Q9" s="79">
        <f t="shared" si="4"/>
        <v>36.936</v>
      </c>
      <c r="R9" s="2">
        <v>6</v>
      </c>
      <c r="S9" s="2">
        <f>'потребность в кормах'!J16</f>
        <v>0</v>
      </c>
      <c r="T9" s="79">
        <f t="shared" si="5"/>
        <v>0</v>
      </c>
      <c r="U9" s="35">
        <v>6</v>
      </c>
      <c r="V9" s="2">
        <f>'потребность в кормах'!K16</f>
        <v>0</v>
      </c>
      <c r="W9" s="22">
        <f t="shared" si="6"/>
        <v>0</v>
      </c>
      <c r="X9" s="41">
        <f t="shared" si="7"/>
        <v>47.189519999999995</v>
      </c>
      <c r="Y9" s="21">
        <f>'потребность в кормах'!L16</f>
        <v>129600</v>
      </c>
      <c r="Z9" s="36">
        <v>0.0108</v>
      </c>
      <c r="AA9" s="39">
        <f t="shared" si="8"/>
        <v>1.39968</v>
      </c>
      <c r="AB9" s="42">
        <f>'потребность в кормах'!N16</f>
        <v>12960</v>
      </c>
      <c r="AC9" s="36">
        <v>0.5</v>
      </c>
      <c r="AD9" s="37">
        <f t="shared" si="9"/>
        <v>6.48</v>
      </c>
    </row>
    <row r="10" spans="1:30" ht="12.75">
      <c r="A10" s="16"/>
      <c r="B10" s="2">
        <v>6</v>
      </c>
      <c r="C10" s="35">
        <v>0.122</v>
      </c>
      <c r="D10" s="2">
        <f>'потребность в кормах'!E20</f>
        <v>27540</v>
      </c>
      <c r="E10" s="79">
        <f t="shared" si="0"/>
        <v>3.35988</v>
      </c>
      <c r="F10" s="35">
        <v>0.178</v>
      </c>
      <c r="G10" s="2">
        <f>'потребность в кормах'!F20</f>
        <v>23760</v>
      </c>
      <c r="H10" s="79">
        <f t="shared" si="1"/>
        <v>4.22928</v>
      </c>
      <c r="I10" s="35">
        <v>0.327</v>
      </c>
      <c r="J10" s="2">
        <f>'потребность в кормах'!G20</f>
        <v>7020</v>
      </c>
      <c r="K10" s="79">
        <f t="shared" si="2"/>
        <v>2.29554</v>
      </c>
      <c r="L10" s="35">
        <v>8</v>
      </c>
      <c r="M10" s="2">
        <f>'потребность в кормах'!H20</f>
        <v>0</v>
      </c>
      <c r="N10" s="79">
        <f t="shared" si="3"/>
        <v>0</v>
      </c>
      <c r="O10" s="2">
        <v>6</v>
      </c>
      <c r="P10" s="2">
        <f>'потребность в кормах'!I20</f>
        <v>5616</v>
      </c>
      <c r="Q10" s="79">
        <f t="shared" si="4"/>
        <v>33.696</v>
      </c>
      <c r="R10" s="2">
        <v>6</v>
      </c>
      <c r="S10" s="2">
        <f>'потребность в кормах'!J20</f>
        <v>0</v>
      </c>
      <c r="T10" s="79">
        <f t="shared" si="5"/>
        <v>0</v>
      </c>
      <c r="U10" s="35">
        <v>6</v>
      </c>
      <c r="V10" s="2">
        <f>'потребность в кормах'!K20</f>
        <v>0</v>
      </c>
      <c r="W10" s="22">
        <f t="shared" si="6"/>
        <v>0</v>
      </c>
      <c r="X10" s="41">
        <f t="shared" si="7"/>
        <v>43.5807</v>
      </c>
      <c r="Y10" s="21">
        <f>'потребность в кормах'!L20</f>
        <v>129600</v>
      </c>
      <c r="Z10" s="36">
        <v>0.0108</v>
      </c>
      <c r="AA10" s="39">
        <f t="shared" si="8"/>
        <v>1.39968</v>
      </c>
      <c r="AB10" s="42">
        <f>'потребность в кормах'!N20</f>
        <v>12960</v>
      </c>
      <c r="AC10" s="36">
        <v>0.5</v>
      </c>
      <c r="AD10" s="37">
        <f t="shared" si="9"/>
        <v>6.48</v>
      </c>
    </row>
    <row r="11" spans="1:30" ht="12.75">
      <c r="A11" s="16"/>
      <c r="B11" s="2">
        <v>7</v>
      </c>
      <c r="C11" s="35">
        <v>0.122</v>
      </c>
      <c r="D11" s="2">
        <f>'потребность в кормах'!E24</f>
        <v>27540</v>
      </c>
      <c r="E11" s="79">
        <f t="shared" si="0"/>
        <v>3.35988</v>
      </c>
      <c r="F11" s="35">
        <v>0.178</v>
      </c>
      <c r="G11" s="2">
        <f>'потребность в кормах'!F24</f>
        <v>24840</v>
      </c>
      <c r="H11" s="79">
        <f t="shared" si="1"/>
        <v>4.421519999999999</v>
      </c>
      <c r="I11" s="35">
        <v>0.327</v>
      </c>
      <c r="J11" s="2">
        <f>'потребность в кормах'!G24</f>
        <v>7560</v>
      </c>
      <c r="K11" s="79">
        <f t="shared" si="2"/>
        <v>2.47212</v>
      </c>
      <c r="L11" s="35">
        <v>8</v>
      </c>
      <c r="M11" s="2">
        <f>'потребность в кормах'!H24</f>
        <v>0</v>
      </c>
      <c r="N11" s="79">
        <f t="shared" si="3"/>
        <v>0</v>
      </c>
      <c r="O11" s="2">
        <v>6</v>
      </c>
      <c r="P11" s="2">
        <f>'потребность в кормах'!I24</f>
        <v>4320</v>
      </c>
      <c r="Q11" s="79">
        <f t="shared" si="4"/>
        <v>25.92</v>
      </c>
      <c r="R11" s="2">
        <v>6</v>
      </c>
      <c r="S11" s="2">
        <f>'потребность в кормах'!J24</f>
        <v>0</v>
      </c>
      <c r="T11" s="79">
        <f t="shared" si="5"/>
        <v>0</v>
      </c>
      <c r="U11" s="35">
        <v>6</v>
      </c>
      <c r="V11" s="2">
        <f>'потребность в кормах'!K24</f>
        <v>0</v>
      </c>
      <c r="W11" s="22">
        <f t="shared" si="6"/>
        <v>0</v>
      </c>
      <c r="X11" s="41">
        <f t="shared" si="7"/>
        <v>36.173519999999996</v>
      </c>
      <c r="Y11" s="21">
        <f>'потребность в кормах'!L24</f>
        <v>129600</v>
      </c>
      <c r="Z11" s="36">
        <v>0.0108</v>
      </c>
      <c r="AA11" s="39">
        <f t="shared" si="8"/>
        <v>1.39968</v>
      </c>
      <c r="AB11" s="42">
        <f>'потребность в кормах'!N24</f>
        <v>12960</v>
      </c>
      <c r="AC11" s="36">
        <v>0.5</v>
      </c>
      <c r="AD11" s="37">
        <f t="shared" si="9"/>
        <v>6.48</v>
      </c>
    </row>
    <row r="12" spans="1:30" ht="12.75">
      <c r="A12" s="16"/>
      <c r="B12" s="2">
        <v>8</v>
      </c>
      <c r="C12" s="35">
        <v>0.122</v>
      </c>
      <c r="D12" s="2">
        <f>'потребность в кормах'!E30</f>
        <v>33792</v>
      </c>
      <c r="E12" s="79">
        <f t="shared" si="0"/>
        <v>4.122624</v>
      </c>
      <c r="F12" s="35">
        <v>0.178</v>
      </c>
      <c r="G12" s="2">
        <f>'потребность в кормах'!F30</f>
        <v>28080</v>
      </c>
      <c r="H12" s="79">
        <f t="shared" si="1"/>
        <v>4.99824</v>
      </c>
      <c r="I12" s="35">
        <v>0.327</v>
      </c>
      <c r="J12" s="2">
        <f>'потребность в кормах'!G30</f>
        <v>7104</v>
      </c>
      <c r="K12" s="79">
        <f t="shared" si="2"/>
        <v>2.323008</v>
      </c>
      <c r="L12" s="35">
        <v>8</v>
      </c>
      <c r="M12" s="2">
        <f>'потребность в кормах'!H30</f>
        <v>140</v>
      </c>
      <c r="N12" s="79">
        <f t="shared" si="3"/>
        <v>1.12</v>
      </c>
      <c r="O12" s="2">
        <v>6</v>
      </c>
      <c r="P12" s="2">
        <f>'потребность в кормах'!I30</f>
        <v>3780</v>
      </c>
      <c r="Q12" s="79">
        <f t="shared" si="4"/>
        <v>22.68</v>
      </c>
      <c r="R12" s="2">
        <v>6</v>
      </c>
      <c r="S12" s="2">
        <f>'потребность в кормах'!J30</f>
        <v>0</v>
      </c>
      <c r="T12" s="79">
        <f t="shared" si="5"/>
        <v>0</v>
      </c>
      <c r="U12" s="35">
        <v>6</v>
      </c>
      <c r="V12" s="2">
        <f>'потребность в кормах'!K30</f>
        <v>2380</v>
      </c>
      <c r="W12" s="22">
        <f t="shared" si="6"/>
        <v>14.28</v>
      </c>
      <c r="X12" s="41">
        <f t="shared" si="7"/>
        <v>49.523872000000004</v>
      </c>
      <c r="Y12" s="21">
        <f>'потребность в кормах'!L30</f>
        <v>169560</v>
      </c>
      <c r="Z12" s="36">
        <v>0.0108</v>
      </c>
      <c r="AA12" s="39">
        <f t="shared" si="8"/>
        <v>1.831248</v>
      </c>
      <c r="AB12" s="42">
        <f>'потребность в кормах'!N30</f>
        <v>16680</v>
      </c>
      <c r="AC12" s="36">
        <v>0.5</v>
      </c>
      <c r="AD12" s="37">
        <f t="shared" si="9"/>
        <v>8.34</v>
      </c>
    </row>
    <row r="13" spans="1:30" ht="12.75">
      <c r="A13" s="16"/>
      <c r="B13" s="2">
        <v>9</v>
      </c>
      <c r="C13" s="35">
        <v>0.122</v>
      </c>
      <c r="D13" s="2">
        <f>'потребность в кормах'!E36</f>
        <v>40044</v>
      </c>
      <c r="E13" s="79">
        <f t="shared" si="0"/>
        <v>4.885368</v>
      </c>
      <c r="F13" s="35">
        <v>0.178</v>
      </c>
      <c r="G13" s="2">
        <f>'потребность в кормах'!F36</f>
        <v>32400</v>
      </c>
      <c r="H13" s="79">
        <f t="shared" si="1"/>
        <v>5.7672</v>
      </c>
      <c r="I13" s="35">
        <v>0.327</v>
      </c>
      <c r="J13" s="2">
        <f>'потребность в кормах'!G36</f>
        <v>7131</v>
      </c>
      <c r="K13" s="79">
        <f t="shared" si="2"/>
        <v>2.331837</v>
      </c>
      <c r="L13" s="35">
        <v>8</v>
      </c>
      <c r="M13" s="2">
        <f>'потребность в кормах'!H36</f>
        <v>275</v>
      </c>
      <c r="N13" s="79">
        <f t="shared" si="3"/>
        <v>2.2</v>
      </c>
      <c r="O13" s="2">
        <v>6</v>
      </c>
      <c r="P13" s="2">
        <f>'потребность в кормах'!I36</f>
        <v>2160</v>
      </c>
      <c r="Q13" s="79">
        <f t="shared" si="4"/>
        <v>12.96</v>
      </c>
      <c r="R13" s="2">
        <v>6</v>
      </c>
      <c r="S13" s="2">
        <f>'потребность в кормах'!J36</f>
        <v>0</v>
      </c>
      <c r="T13" s="79">
        <f t="shared" si="5"/>
        <v>0</v>
      </c>
      <c r="U13" s="35">
        <v>6</v>
      </c>
      <c r="V13" s="2">
        <f>'потребность в кормах'!K36</f>
        <v>2650</v>
      </c>
      <c r="W13" s="22">
        <f t="shared" si="6"/>
        <v>15.9</v>
      </c>
      <c r="X13" s="41">
        <f t="shared" si="7"/>
        <v>44.044405</v>
      </c>
      <c r="Y13" s="21">
        <f>'потребность в кормах'!L36</f>
        <v>203580</v>
      </c>
      <c r="Z13" s="36">
        <v>0.0108</v>
      </c>
      <c r="AA13" s="39">
        <f t="shared" si="8"/>
        <v>2.1986640000000004</v>
      </c>
      <c r="AB13" s="42">
        <f>'потребность в кормах'!N36</f>
        <v>17250</v>
      </c>
      <c r="AC13" s="36">
        <v>0.5</v>
      </c>
      <c r="AD13" s="37">
        <f t="shared" si="9"/>
        <v>8.625</v>
      </c>
    </row>
    <row r="14" spans="1:30" ht="12.75">
      <c r="A14" s="16"/>
      <c r="B14" s="2">
        <v>10</v>
      </c>
      <c r="C14" s="35">
        <v>0.122</v>
      </c>
      <c r="D14" s="2">
        <f>'потребность в кормах'!E43</f>
        <v>46299</v>
      </c>
      <c r="E14" s="79">
        <f t="shared" si="0"/>
        <v>5.648478</v>
      </c>
      <c r="F14" s="35">
        <v>0.178</v>
      </c>
      <c r="G14" s="2">
        <f>'потребность в кормах'!F43</f>
        <v>35640</v>
      </c>
      <c r="H14" s="79">
        <f t="shared" si="1"/>
        <v>6.34392</v>
      </c>
      <c r="I14" s="35">
        <v>0.327</v>
      </c>
      <c r="J14" s="2">
        <f>'потребность в кормах'!G43</f>
        <v>6630</v>
      </c>
      <c r="K14" s="79">
        <f t="shared" si="2"/>
        <v>2.16801</v>
      </c>
      <c r="L14" s="35">
        <v>8</v>
      </c>
      <c r="M14" s="2">
        <f>'потребность в кормах'!H43</f>
        <v>491</v>
      </c>
      <c r="N14" s="79">
        <f t="shared" si="3"/>
        <v>3.928</v>
      </c>
      <c r="O14" s="2">
        <v>6</v>
      </c>
      <c r="P14" s="2">
        <f>'потребность в кормах'!I43</f>
        <v>1620</v>
      </c>
      <c r="Q14" s="79">
        <f t="shared" si="4"/>
        <v>9.72</v>
      </c>
      <c r="R14" s="2">
        <v>6</v>
      </c>
      <c r="S14" s="2">
        <f>'потребность в кормах'!J43</f>
        <v>0</v>
      </c>
      <c r="T14" s="79">
        <f t="shared" si="5"/>
        <v>0</v>
      </c>
      <c r="U14" s="35">
        <v>6</v>
      </c>
      <c r="V14" s="2">
        <f>'потребность в кормах'!K43</f>
        <v>2650</v>
      </c>
      <c r="W14" s="22">
        <f t="shared" si="6"/>
        <v>15.9</v>
      </c>
      <c r="X14" s="41">
        <f t="shared" si="7"/>
        <v>43.708408</v>
      </c>
      <c r="Y14" s="21">
        <f>'потребность в кормах'!L43</f>
        <v>237600</v>
      </c>
      <c r="Z14" s="36">
        <v>0.0108</v>
      </c>
      <c r="AA14" s="39">
        <f t="shared" si="8"/>
        <v>2.56608</v>
      </c>
      <c r="AB14" s="42">
        <f>'потребность в кормах'!N43</f>
        <v>17845</v>
      </c>
      <c r="AC14" s="36">
        <v>0.5</v>
      </c>
      <c r="AD14" s="37">
        <f t="shared" si="9"/>
        <v>8.9225</v>
      </c>
    </row>
    <row r="15" spans="1:30" ht="12.75">
      <c r="A15" s="16"/>
      <c r="B15" s="2">
        <v>11</v>
      </c>
      <c r="C15" s="35">
        <v>0.122</v>
      </c>
      <c r="D15" s="2">
        <f>'потребность в кормах'!E51</f>
        <v>49872</v>
      </c>
      <c r="E15" s="79">
        <f t="shared" si="0"/>
        <v>6.084384</v>
      </c>
      <c r="F15" s="35">
        <v>0.178</v>
      </c>
      <c r="G15" s="2">
        <f>'потребность в кормах'!F51</f>
        <v>42660</v>
      </c>
      <c r="H15" s="79">
        <f t="shared" si="1"/>
        <v>7.59348</v>
      </c>
      <c r="I15" s="35">
        <v>0.327</v>
      </c>
      <c r="J15" s="2">
        <f>'потребность в кормах'!G51</f>
        <v>6693</v>
      </c>
      <c r="K15" s="79">
        <f t="shared" si="2"/>
        <v>2.188611</v>
      </c>
      <c r="L15" s="35">
        <v>8</v>
      </c>
      <c r="M15" s="2">
        <f>'потребность в кормах'!H51</f>
        <v>731</v>
      </c>
      <c r="N15" s="79">
        <f t="shared" si="3"/>
        <v>5.848</v>
      </c>
      <c r="O15" s="2">
        <v>6</v>
      </c>
      <c r="P15" s="2">
        <f>'потребность в кормах'!I51</f>
        <v>0</v>
      </c>
      <c r="Q15" s="79">
        <f t="shared" si="4"/>
        <v>0</v>
      </c>
      <c r="R15" s="2">
        <v>6</v>
      </c>
      <c r="S15" s="2">
        <f>'потребность в кормах'!J51</f>
        <v>0</v>
      </c>
      <c r="T15" s="79">
        <f t="shared" si="5"/>
        <v>0</v>
      </c>
      <c r="U15" s="35">
        <v>6</v>
      </c>
      <c r="V15" s="2">
        <f>'потребность в кормах'!K51</f>
        <v>2650</v>
      </c>
      <c r="W15" s="22">
        <f t="shared" si="6"/>
        <v>15.9</v>
      </c>
      <c r="X15" s="41">
        <f t="shared" si="7"/>
        <v>37.614475</v>
      </c>
      <c r="Y15" s="21">
        <f>'потребность в кормах'!L51</f>
        <v>271620</v>
      </c>
      <c r="Z15" s="36">
        <v>0.0108</v>
      </c>
      <c r="AA15" s="39">
        <f t="shared" si="8"/>
        <v>2.933496</v>
      </c>
      <c r="AB15" s="42">
        <f>'потребность в кормах'!N51</f>
        <v>18240</v>
      </c>
      <c r="AC15" s="36">
        <v>0.5</v>
      </c>
      <c r="AD15" s="37">
        <f t="shared" si="9"/>
        <v>9.12</v>
      </c>
    </row>
    <row r="16" spans="1:30" ht="12.75">
      <c r="A16" s="16"/>
      <c r="B16" s="2">
        <v>12</v>
      </c>
      <c r="C16" s="35">
        <v>0.122</v>
      </c>
      <c r="D16" s="2">
        <f>'потребность в кормах'!E60</f>
        <v>53454</v>
      </c>
      <c r="E16" s="79">
        <f t="shared" si="0"/>
        <v>6.521388</v>
      </c>
      <c r="F16" s="35">
        <v>0.178</v>
      </c>
      <c r="G16" s="2">
        <f>'потребность в кормах'!F60</f>
        <v>49740</v>
      </c>
      <c r="H16" s="79">
        <f t="shared" si="1"/>
        <v>8.85372</v>
      </c>
      <c r="I16" s="35">
        <v>0.327</v>
      </c>
      <c r="J16" s="2">
        <f>'потребность в кормах'!G60</f>
        <v>6768</v>
      </c>
      <c r="K16" s="79">
        <f t="shared" si="2"/>
        <v>2.213136</v>
      </c>
      <c r="L16" s="35">
        <v>8</v>
      </c>
      <c r="M16" s="2">
        <f>'потребность в кормах'!H60</f>
        <v>980</v>
      </c>
      <c r="N16" s="79">
        <f t="shared" si="3"/>
        <v>7.84</v>
      </c>
      <c r="O16" s="2">
        <v>6</v>
      </c>
      <c r="P16" s="2">
        <f>'потребность в кормах'!I60</f>
        <v>0</v>
      </c>
      <c r="Q16" s="79">
        <f t="shared" si="4"/>
        <v>0</v>
      </c>
      <c r="R16" s="2">
        <v>6</v>
      </c>
      <c r="S16" s="2">
        <f>'потребность в кормах'!J60</f>
        <v>0</v>
      </c>
      <c r="T16" s="79">
        <f t="shared" si="5"/>
        <v>0</v>
      </c>
      <c r="U16" s="35">
        <v>6</v>
      </c>
      <c r="V16" s="2">
        <f>'потребность в кормах'!K60</f>
        <v>2650</v>
      </c>
      <c r="W16" s="22">
        <f t="shared" si="6"/>
        <v>15.9</v>
      </c>
      <c r="X16" s="41">
        <f t="shared" si="7"/>
        <v>41.328244</v>
      </c>
      <c r="Y16" s="21">
        <f>'потребность в кормах'!L60</f>
        <v>305640</v>
      </c>
      <c r="Z16" s="36">
        <v>0.0108</v>
      </c>
      <c r="AA16" s="39">
        <f t="shared" si="8"/>
        <v>3.3009120000000003</v>
      </c>
      <c r="AB16" s="42">
        <f>'потребность в кормах'!N60</f>
        <v>18735</v>
      </c>
      <c r="AC16" s="36">
        <v>0.5</v>
      </c>
      <c r="AD16" s="37">
        <f t="shared" si="9"/>
        <v>9.3675</v>
      </c>
    </row>
    <row r="17" spans="1:30" ht="12.75">
      <c r="A17" s="368" t="s">
        <v>122</v>
      </c>
      <c r="B17" s="370"/>
      <c r="C17" s="34">
        <v>0.122</v>
      </c>
      <c r="D17" s="16">
        <f>SUM(D5:D16)</f>
        <v>361161</v>
      </c>
      <c r="E17" s="81">
        <f t="shared" si="0"/>
        <v>44.061642</v>
      </c>
      <c r="F17" s="16">
        <v>0.178</v>
      </c>
      <c r="G17" s="16">
        <f>SUM(G5:G16)</f>
        <v>309480</v>
      </c>
      <c r="H17" s="81">
        <f t="shared" si="1"/>
        <v>55.087439999999994</v>
      </c>
      <c r="I17" s="16">
        <v>0.327</v>
      </c>
      <c r="J17" s="16">
        <f>SUM(J5:J16)</f>
        <v>70506</v>
      </c>
      <c r="K17" s="81">
        <f t="shared" si="2"/>
        <v>23.055462</v>
      </c>
      <c r="L17" s="16">
        <v>8</v>
      </c>
      <c r="M17" s="16">
        <f>SUM(M5:M16)</f>
        <v>2617</v>
      </c>
      <c r="N17" s="81">
        <f t="shared" si="3"/>
        <v>20.936</v>
      </c>
      <c r="O17" s="16">
        <v>6</v>
      </c>
      <c r="P17" s="16">
        <f>SUM(P5:P16)</f>
        <v>35316</v>
      </c>
      <c r="Q17" s="81">
        <f t="shared" si="4"/>
        <v>211.896</v>
      </c>
      <c r="R17" s="16">
        <v>6</v>
      </c>
      <c r="S17" s="16">
        <f>SUM(S5:S16)</f>
        <v>0</v>
      </c>
      <c r="T17" s="81">
        <f t="shared" si="5"/>
        <v>0</v>
      </c>
      <c r="U17" s="16">
        <v>6</v>
      </c>
      <c r="V17" s="16">
        <f>SUM(V5:V16)</f>
        <v>12980</v>
      </c>
      <c r="W17" s="43">
        <f t="shared" si="6"/>
        <v>77.88</v>
      </c>
      <c r="X17" s="44">
        <f>W17+T17+Q17+N17+K17+H17+E17</f>
        <v>432.91654399999993</v>
      </c>
      <c r="Y17" s="45">
        <f>SUM(Y5:Y16)</f>
        <v>1836000</v>
      </c>
      <c r="Z17" s="46">
        <v>0.0108</v>
      </c>
      <c r="AA17" s="47">
        <f t="shared" si="8"/>
        <v>19.828799999999998</v>
      </c>
      <c r="AB17" s="48">
        <f>SUM(AB5:AB16)</f>
        <v>153550</v>
      </c>
      <c r="AC17" s="46">
        <v>0.5</v>
      </c>
      <c r="AD17" s="86">
        <f t="shared" si="9"/>
        <v>76.775</v>
      </c>
    </row>
    <row r="18" spans="1:30" ht="12.75">
      <c r="A18" s="6">
        <v>2</v>
      </c>
      <c r="B18" s="2">
        <v>1</v>
      </c>
      <c r="C18" s="93">
        <v>0.122</v>
      </c>
      <c r="D18" s="2">
        <f>'потребность в кормах'!E70</f>
        <v>57138</v>
      </c>
      <c r="E18" s="79">
        <f t="shared" si="0"/>
        <v>6.970836</v>
      </c>
      <c r="F18" s="2">
        <v>0.178</v>
      </c>
      <c r="G18" s="2">
        <f>'потребность в кормах'!F70</f>
        <v>56892</v>
      </c>
      <c r="H18" s="79">
        <f t="shared" si="1"/>
        <v>10.126776</v>
      </c>
      <c r="I18" s="2">
        <v>0.327</v>
      </c>
      <c r="J18" s="2">
        <f>'потребность в кормах'!G70</f>
        <v>7173</v>
      </c>
      <c r="K18" s="79">
        <f t="shared" si="2"/>
        <v>2.345571</v>
      </c>
      <c r="L18" s="2">
        <v>8</v>
      </c>
      <c r="M18" s="2">
        <f>'потребность в кормах'!H70</f>
        <v>1214</v>
      </c>
      <c r="N18" s="79">
        <f t="shared" si="3"/>
        <v>9.712</v>
      </c>
      <c r="O18" s="2">
        <v>6</v>
      </c>
      <c r="P18" s="2">
        <f>'потребность в кормах'!I70</f>
        <v>0</v>
      </c>
      <c r="Q18" s="79">
        <f t="shared" si="4"/>
        <v>0</v>
      </c>
      <c r="R18" s="2">
        <v>6</v>
      </c>
      <c r="S18" s="2">
        <f>'потребность в кормах'!J70</f>
        <v>0</v>
      </c>
      <c r="T18" s="79">
        <f t="shared" si="5"/>
        <v>0</v>
      </c>
      <c r="U18" s="2">
        <v>6</v>
      </c>
      <c r="V18" s="2">
        <f>'потребность в кормах'!K70</f>
        <v>2650</v>
      </c>
      <c r="W18" s="22">
        <f t="shared" si="6"/>
        <v>15.9</v>
      </c>
      <c r="X18" s="41">
        <f t="shared" si="7"/>
        <v>45.055183</v>
      </c>
      <c r="Y18" s="21">
        <f>'потребность в кормах'!L70</f>
        <v>339660</v>
      </c>
      <c r="Z18" s="36">
        <v>0.0108</v>
      </c>
      <c r="AA18" s="39">
        <f t="shared" si="8"/>
        <v>3.668328</v>
      </c>
      <c r="AB18" s="42">
        <f>'потребность в кормах'!N70</f>
        <v>19330</v>
      </c>
      <c r="AC18" s="36">
        <v>0.5</v>
      </c>
      <c r="AD18" s="37">
        <f t="shared" si="9"/>
        <v>9.665</v>
      </c>
    </row>
    <row r="19" spans="1:30" ht="12.75">
      <c r="A19" s="6"/>
      <c r="B19" s="2">
        <v>2</v>
      </c>
      <c r="C19" s="93">
        <v>0.122</v>
      </c>
      <c r="D19" s="2">
        <f>'потребность в кормах'!E80</f>
        <v>54891</v>
      </c>
      <c r="E19" s="79">
        <f t="shared" si="0"/>
        <v>6.696702</v>
      </c>
      <c r="F19" s="2">
        <v>0.178</v>
      </c>
      <c r="G19" s="2">
        <f>'потребность в кормах'!F80</f>
        <v>59907</v>
      </c>
      <c r="H19" s="79">
        <f t="shared" si="1"/>
        <v>10.663446</v>
      </c>
      <c r="I19" s="2">
        <v>0.327</v>
      </c>
      <c r="J19" s="2">
        <f>'потребность в кормах'!G80</f>
        <v>7224</v>
      </c>
      <c r="K19" s="79">
        <f t="shared" si="2"/>
        <v>2.362248</v>
      </c>
      <c r="L19" s="2">
        <v>8</v>
      </c>
      <c r="M19" s="2">
        <f>'потребность в кормах'!H80</f>
        <v>1074</v>
      </c>
      <c r="N19" s="79">
        <f t="shared" si="3"/>
        <v>8.592</v>
      </c>
      <c r="O19" s="2">
        <v>6</v>
      </c>
      <c r="P19" s="2">
        <f>'потребность в кормах'!I80</f>
        <v>225</v>
      </c>
      <c r="Q19" s="79">
        <f t="shared" si="4"/>
        <v>1.35</v>
      </c>
      <c r="R19" s="2">
        <v>6</v>
      </c>
      <c r="S19" s="2">
        <f>'потребность в кормах'!J80</f>
        <v>0</v>
      </c>
      <c r="T19" s="79">
        <f t="shared" si="5"/>
        <v>0</v>
      </c>
      <c r="U19" s="2">
        <v>6</v>
      </c>
      <c r="V19" s="2">
        <f>'потребность в кормах'!K80</f>
        <v>270</v>
      </c>
      <c r="W19" s="22">
        <f t="shared" si="6"/>
        <v>1.62</v>
      </c>
      <c r="X19" s="41">
        <f t="shared" si="7"/>
        <v>31.284396</v>
      </c>
      <c r="Y19" s="21">
        <f>'потребность в кормах'!L80</f>
        <v>334260</v>
      </c>
      <c r="Z19" s="36">
        <v>0.0108</v>
      </c>
      <c r="AA19" s="39">
        <f t="shared" si="8"/>
        <v>3.610008</v>
      </c>
      <c r="AB19" s="42">
        <f>'потребность в кормах'!N80</f>
        <v>16140</v>
      </c>
      <c r="AC19" s="36">
        <v>0.5</v>
      </c>
      <c r="AD19" s="37">
        <f t="shared" si="9"/>
        <v>8.07</v>
      </c>
    </row>
    <row r="20" spans="1:30" ht="12.75">
      <c r="A20" s="6"/>
      <c r="B20" s="2">
        <v>3</v>
      </c>
      <c r="C20" s="93">
        <v>0.122</v>
      </c>
      <c r="D20" s="2">
        <f>'потребность в кормах'!E91</f>
        <v>53544</v>
      </c>
      <c r="E20" s="79">
        <f t="shared" si="0"/>
        <v>6.532367999999999</v>
      </c>
      <c r="F20" s="2">
        <v>0.178</v>
      </c>
      <c r="G20" s="2">
        <f>'потребность в кормах'!F91</f>
        <v>62022</v>
      </c>
      <c r="H20" s="79">
        <f t="shared" si="1"/>
        <v>11.039916</v>
      </c>
      <c r="I20" s="2">
        <v>0.327</v>
      </c>
      <c r="J20" s="2">
        <f>'потребность в кормах'!G91</f>
        <v>7332</v>
      </c>
      <c r="K20" s="79">
        <f t="shared" si="2"/>
        <v>2.3975640000000005</v>
      </c>
      <c r="L20" s="2">
        <v>8</v>
      </c>
      <c r="M20" s="2">
        <f>'потребность в кормах'!H91</f>
        <v>939</v>
      </c>
      <c r="N20" s="79">
        <f t="shared" si="3"/>
        <v>7.512</v>
      </c>
      <c r="O20" s="2">
        <v>6</v>
      </c>
      <c r="P20" s="2">
        <f>'потребность в кормах'!I91</f>
        <v>450</v>
      </c>
      <c r="Q20" s="79">
        <f t="shared" si="4"/>
        <v>2.7</v>
      </c>
      <c r="R20" s="2">
        <v>6</v>
      </c>
      <c r="S20" s="2">
        <f>'потребность в кормах'!J91</f>
        <v>0</v>
      </c>
      <c r="T20" s="79">
        <f t="shared" si="5"/>
        <v>0</v>
      </c>
      <c r="U20" s="2">
        <v>6</v>
      </c>
      <c r="V20" s="2">
        <f>'потребность в кормах'!K91</f>
        <v>0</v>
      </c>
      <c r="W20" s="22">
        <f t="shared" si="6"/>
        <v>0</v>
      </c>
      <c r="X20" s="41">
        <f t="shared" si="7"/>
        <v>30.181848</v>
      </c>
      <c r="Y20" s="21">
        <f>'потребность в кормах'!L91</f>
        <v>334800</v>
      </c>
      <c r="Z20" s="36">
        <v>0.0108</v>
      </c>
      <c r="AA20" s="39">
        <f t="shared" si="8"/>
        <v>3.61584</v>
      </c>
      <c r="AB20" s="42">
        <f>'потребность в кормах'!N91</f>
        <v>16300</v>
      </c>
      <c r="AC20" s="36">
        <v>0.5</v>
      </c>
      <c r="AD20" s="37">
        <f t="shared" si="9"/>
        <v>8.15</v>
      </c>
    </row>
    <row r="21" spans="1:30" ht="12.75">
      <c r="A21" s="6"/>
      <c r="B21" s="2">
        <v>4</v>
      </c>
      <c r="C21" s="93">
        <v>0.122</v>
      </c>
      <c r="D21" s="2">
        <f>'потребность в кормах'!E103</f>
        <v>50394</v>
      </c>
      <c r="E21" s="79">
        <f t="shared" si="0"/>
        <v>6.148068</v>
      </c>
      <c r="F21" s="2">
        <v>0.178</v>
      </c>
      <c r="G21" s="2">
        <f>'потребность в кормах'!F103</f>
        <v>65937</v>
      </c>
      <c r="H21" s="79">
        <f t="shared" si="1"/>
        <v>11.736786</v>
      </c>
      <c r="I21" s="2">
        <v>0.327</v>
      </c>
      <c r="J21" s="2">
        <f>'потребность в кормах'!G103</f>
        <v>7428</v>
      </c>
      <c r="K21" s="79">
        <f t="shared" si="2"/>
        <v>2.4289560000000003</v>
      </c>
      <c r="L21" s="2">
        <v>8</v>
      </c>
      <c r="M21" s="2">
        <f>'потребность в кормах'!H103</f>
        <v>723</v>
      </c>
      <c r="N21" s="79">
        <f t="shared" si="3"/>
        <v>5.784</v>
      </c>
      <c r="O21" s="2">
        <v>6</v>
      </c>
      <c r="P21" s="2">
        <f>'потребность в кормах'!I103</f>
        <v>675</v>
      </c>
      <c r="Q21" s="79">
        <f t="shared" si="4"/>
        <v>4.05</v>
      </c>
      <c r="R21" s="2">
        <v>6</v>
      </c>
      <c r="S21" s="2">
        <f>'потребность в кормах'!J103</f>
        <v>0</v>
      </c>
      <c r="T21" s="79">
        <f t="shared" si="5"/>
        <v>0</v>
      </c>
      <c r="U21" s="2">
        <v>6</v>
      </c>
      <c r="V21" s="2">
        <f>'потребность в кормах'!K103</f>
        <v>0</v>
      </c>
      <c r="W21" s="22">
        <f t="shared" si="6"/>
        <v>0</v>
      </c>
      <c r="X21" s="41">
        <f t="shared" si="7"/>
        <v>30.14781</v>
      </c>
      <c r="Y21" s="21">
        <f>'потребность в кормах'!L103</f>
        <v>335340</v>
      </c>
      <c r="Z21" s="36">
        <v>0.0108</v>
      </c>
      <c r="AA21" s="39">
        <f t="shared" si="8"/>
        <v>3.6216720000000002</v>
      </c>
      <c r="AB21" s="42">
        <f>'потребность в кормах'!N103</f>
        <v>16335</v>
      </c>
      <c r="AC21" s="36">
        <v>0.5</v>
      </c>
      <c r="AD21" s="37">
        <f t="shared" si="9"/>
        <v>8.1675</v>
      </c>
    </row>
    <row r="22" spans="1:30" ht="12.75">
      <c r="A22" s="6"/>
      <c r="B22" s="2">
        <v>5</v>
      </c>
      <c r="C22" s="93">
        <v>0.122</v>
      </c>
      <c r="D22" s="2">
        <f>'потребность в кормах'!E114</f>
        <v>50916</v>
      </c>
      <c r="E22" s="79">
        <f t="shared" si="0"/>
        <v>6.211752</v>
      </c>
      <c r="F22" s="2">
        <v>0.178</v>
      </c>
      <c r="G22" s="2">
        <f>'потребность в кормах'!F114</f>
        <v>66387</v>
      </c>
      <c r="H22" s="79">
        <f t="shared" si="1"/>
        <v>11.816885999999998</v>
      </c>
      <c r="I22" s="2">
        <v>0.327</v>
      </c>
      <c r="J22" s="2">
        <f>'потребность в кормах'!G114</f>
        <v>7770</v>
      </c>
      <c r="K22" s="79">
        <f t="shared" si="2"/>
        <v>2.54079</v>
      </c>
      <c r="L22" s="2">
        <v>8</v>
      </c>
      <c r="M22" s="2">
        <f>'потребность в кормах'!H114</f>
        <v>483</v>
      </c>
      <c r="N22" s="79">
        <f t="shared" si="3"/>
        <v>3.864</v>
      </c>
      <c r="O22" s="2">
        <v>6</v>
      </c>
      <c r="P22" s="2">
        <f>'потребность в кормах'!I114</f>
        <v>855</v>
      </c>
      <c r="Q22" s="79">
        <f t="shared" si="4"/>
        <v>5.13</v>
      </c>
      <c r="R22" s="2">
        <v>6</v>
      </c>
      <c r="S22" s="2">
        <f>'потребность в кормах'!J114</f>
        <v>0</v>
      </c>
      <c r="T22" s="79">
        <f t="shared" si="5"/>
        <v>0</v>
      </c>
      <c r="U22" s="2">
        <v>6</v>
      </c>
      <c r="V22" s="2">
        <f>'потребность в кормах'!K114</f>
        <v>0</v>
      </c>
      <c r="W22" s="22">
        <f t="shared" si="6"/>
        <v>0</v>
      </c>
      <c r="X22" s="41">
        <f t="shared" si="7"/>
        <v>29.563428</v>
      </c>
      <c r="Y22" s="21">
        <f>'потребность в кормах'!L114</f>
        <v>335880</v>
      </c>
      <c r="Z22" s="36">
        <v>0.0108</v>
      </c>
      <c r="AA22" s="39">
        <f t="shared" si="8"/>
        <v>3.6275040000000005</v>
      </c>
      <c r="AB22" s="42">
        <f>'потребность в кормах'!N114</f>
        <v>16570</v>
      </c>
      <c r="AC22" s="36">
        <v>0.5</v>
      </c>
      <c r="AD22" s="37">
        <f t="shared" si="9"/>
        <v>8.285</v>
      </c>
    </row>
    <row r="23" spans="1:30" ht="12.75">
      <c r="A23" s="6"/>
      <c r="B23" s="2">
        <v>6</v>
      </c>
      <c r="C23" s="93">
        <v>0.122</v>
      </c>
      <c r="D23" s="2">
        <f>'потребность в кормах'!E126</f>
        <v>53229</v>
      </c>
      <c r="E23" s="79">
        <f t="shared" si="0"/>
        <v>6.493938</v>
      </c>
      <c r="F23" s="2">
        <v>0.178</v>
      </c>
      <c r="G23" s="2">
        <f>'потребность в кормах'!F126</f>
        <v>61377</v>
      </c>
      <c r="H23" s="79">
        <f t="shared" si="1"/>
        <v>10.925106</v>
      </c>
      <c r="I23" s="2">
        <v>0.327</v>
      </c>
      <c r="J23" s="2">
        <f>'потребность в кормах'!G126</f>
        <v>8820</v>
      </c>
      <c r="K23" s="79">
        <f t="shared" si="2"/>
        <v>2.8841400000000004</v>
      </c>
      <c r="L23" s="2">
        <v>8</v>
      </c>
      <c r="M23" s="2">
        <f>'потребность в кормах'!H126</f>
        <v>234</v>
      </c>
      <c r="N23" s="79">
        <f t="shared" si="3"/>
        <v>1.872</v>
      </c>
      <c r="O23" s="2">
        <v>6</v>
      </c>
      <c r="P23" s="2">
        <f>'потребность в кормах'!I126</f>
        <v>1035</v>
      </c>
      <c r="Q23" s="79">
        <f t="shared" si="4"/>
        <v>6.21</v>
      </c>
      <c r="R23" s="2">
        <v>6</v>
      </c>
      <c r="S23" s="2">
        <f>'потребность в кормах'!J126</f>
        <v>0</v>
      </c>
      <c r="T23" s="79">
        <f t="shared" si="5"/>
        <v>0</v>
      </c>
      <c r="U23" s="2">
        <v>6</v>
      </c>
      <c r="V23" s="2">
        <f>'потребность в кормах'!K126</f>
        <v>0</v>
      </c>
      <c r="W23" s="22">
        <f t="shared" si="6"/>
        <v>0</v>
      </c>
      <c r="X23" s="41">
        <f t="shared" si="7"/>
        <v>28.385184000000002</v>
      </c>
      <c r="Y23" s="21">
        <f>'потребность в кормах'!L126</f>
        <v>336420</v>
      </c>
      <c r="Z23" s="36">
        <v>0.0108</v>
      </c>
      <c r="AA23" s="39">
        <f t="shared" si="8"/>
        <v>3.6333360000000003</v>
      </c>
      <c r="AB23" s="42">
        <f>'потребность в кормах'!N126</f>
        <v>16605</v>
      </c>
      <c r="AC23" s="36">
        <v>0.5</v>
      </c>
      <c r="AD23" s="37">
        <f t="shared" si="9"/>
        <v>8.3025</v>
      </c>
    </row>
    <row r="24" spans="1:30" ht="12.75">
      <c r="A24" s="6"/>
      <c r="B24" s="2">
        <v>7</v>
      </c>
      <c r="C24" s="93">
        <v>0.122</v>
      </c>
      <c r="D24" s="2">
        <f>'потребность в кормах'!E138</f>
        <v>55440</v>
      </c>
      <c r="E24" s="79">
        <f t="shared" si="0"/>
        <v>6.76368</v>
      </c>
      <c r="F24" s="2">
        <v>0.178</v>
      </c>
      <c r="G24" s="2">
        <f>'потребность в кормах'!F138</f>
        <v>56295</v>
      </c>
      <c r="H24" s="79">
        <f t="shared" si="1"/>
        <v>10.02051</v>
      </c>
      <c r="I24" s="2">
        <v>0.327</v>
      </c>
      <c r="J24" s="2">
        <f>'потребность в кормах'!G138</f>
        <v>9540</v>
      </c>
      <c r="K24" s="79">
        <f t="shared" si="2"/>
        <v>3.11958</v>
      </c>
      <c r="L24" s="2">
        <v>8</v>
      </c>
      <c r="M24" s="2">
        <f>'потребность в кормах'!H138</f>
        <v>0</v>
      </c>
      <c r="N24" s="79">
        <f t="shared" si="3"/>
        <v>0</v>
      </c>
      <c r="O24" s="2">
        <v>6</v>
      </c>
      <c r="P24" s="2">
        <f>'потребность в кормах'!I138</f>
        <v>1215</v>
      </c>
      <c r="Q24" s="79">
        <f t="shared" si="4"/>
        <v>7.29</v>
      </c>
      <c r="R24" s="2">
        <v>6</v>
      </c>
      <c r="S24" s="2">
        <f>'потребность в кормах'!J138</f>
        <v>0</v>
      </c>
      <c r="T24" s="79">
        <f t="shared" si="5"/>
        <v>0</v>
      </c>
      <c r="U24" s="2">
        <v>6</v>
      </c>
      <c r="V24" s="2">
        <f>'потребность в кормах'!K138</f>
        <v>0</v>
      </c>
      <c r="W24" s="22">
        <f t="shared" si="6"/>
        <v>0</v>
      </c>
      <c r="X24" s="41">
        <f t="shared" si="7"/>
        <v>27.19377</v>
      </c>
      <c r="Y24" s="21">
        <f>'потребность в кормах'!L138</f>
        <v>336960</v>
      </c>
      <c r="Z24" s="36">
        <v>0.0108</v>
      </c>
      <c r="AA24" s="39">
        <f t="shared" si="8"/>
        <v>3.639168</v>
      </c>
      <c r="AB24" s="42">
        <f>'потребность в кормах'!N138</f>
        <v>16840</v>
      </c>
      <c r="AC24" s="36">
        <v>0.5</v>
      </c>
      <c r="AD24" s="37">
        <f t="shared" si="9"/>
        <v>8.42</v>
      </c>
    </row>
    <row r="25" spans="1:30" ht="12.75">
      <c r="A25" s="6"/>
      <c r="B25" s="2">
        <v>8</v>
      </c>
      <c r="C25" s="93">
        <v>0.122</v>
      </c>
      <c r="D25" s="2">
        <f>'потребность в кормах'!E151</f>
        <v>57495</v>
      </c>
      <c r="E25" s="79">
        <f t="shared" si="0"/>
        <v>7.01439</v>
      </c>
      <c r="F25" s="2">
        <v>0.178</v>
      </c>
      <c r="G25" s="2">
        <f>'потребность в кормах'!F151</f>
        <v>54765</v>
      </c>
      <c r="H25" s="79">
        <f t="shared" si="1"/>
        <v>9.74817</v>
      </c>
      <c r="I25" s="2">
        <v>0.327</v>
      </c>
      <c r="J25" s="2">
        <f>'потребность в кормах'!G151</f>
        <v>9600</v>
      </c>
      <c r="K25" s="79">
        <f t="shared" si="2"/>
        <v>3.1392</v>
      </c>
      <c r="L25" s="2">
        <v>8</v>
      </c>
      <c r="M25" s="2">
        <f>'потребность в кормах'!H151</f>
        <v>100</v>
      </c>
      <c r="N25" s="79">
        <f t="shared" si="3"/>
        <v>0.8</v>
      </c>
      <c r="O25" s="2">
        <v>6</v>
      </c>
      <c r="P25" s="2">
        <f>'потребность в кормах'!I151</f>
        <v>1170</v>
      </c>
      <c r="Q25" s="79">
        <f t="shared" si="4"/>
        <v>7.02</v>
      </c>
      <c r="R25" s="2">
        <v>6</v>
      </c>
      <c r="S25" s="2">
        <f>'потребность в кормах'!J151</f>
        <v>0</v>
      </c>
      <c r="T25" s="79">
        <f t="shared" si="5"/>
        <v>0</v>
      </c>
      <c r="U25" s="2">
        <v>6</v>
      </c>
      <c r="V25" s="2">
        <f>'потребность в кормах'!K151</f>
        <v>1700</v>
      </c>
      <c r="W25" s="22">
        <f t="shared" si="6"/>
        <v>10.2</v>
      </c>
      <c r="X25" s="41">
        <f t="shared" si="7"/>
        <v>37.92176</v>
      </c>
      <c r="Y25" s="21">
        <f>'потребность в кормах'!L151</f>
        <v>342900</v>
      </c>
      <c r="Z25" s="36">
        <v>0.0108</v>
      </c>
      <c r="AA25" s="39">
        <f t="shared" si="8"/>
        <v>3.70332</v>
      </c>
      <c r="AB25" s="42">
        <f>'потребность в кормах'!N151</f>
        <v>19205</v>
      </c>
      <c r="AC25" s="36">
        <v>0.5</v>
      </c>
      <c r="AD25" s="37">
        <f t="shared" si="9"/>
        <v>9.6025</v>
      </c>
    </row>
    <row r="26" spans="1:30" ht="12.75">
      <c r="A26" s="6"/>
      <c r="B26" s="2">
        <v>9</v>
      </c>
      <c r="C26" s="93">
        <v>0.122</v>
      </c>
      <c r="D26" s="2">
        <f>'потребность в кормах'!E164</f>
        <v>59548</v>
      </c>
      <c r="E26" s="79">
        <f t="shared" si="0"/>
        <v>7.264856</v>
      </c>
      <c r="F26" s="2">
        <v>0.178</v>
      </c>
      <c r="G26" s="2">
        <f>'потребность в кормах'!F164</f>
        <v>53235</v>
      </c>
      <c r="H26" s="79">
        <f t="shared" si="1"/>
        <v>9.47583</v>
      </c>
      <c r="I26" s="2">
        <v>0.327</v>
      </c>
      <c r="J26" s="2">
        <f>'потребность в кормах'!G164</f>
        <v>9618</v>
      </c>
      <c r="K26" s="79">
        <f t="shared" si="2"/>
        <v>3.145086</v>
      </c>
      <c r="L26" s="2">
        <v>8</v>
      </c>
      <c r="M26" s="2">
        <f>'потребность в кормах'!H164</f>
        <v>190</v>
      </c>
      <c r="N26" s="79">
        <f t="shared" si="3"/>
        <v>1.52</v>
      </c>
      <c r="O26" s="2">
        <v>6</v>
      </c>
      <c r="P26" s="2">
        <f>'потребность в кормах'!I164</f>
        <v>1125</v>
      </c>
      <c r="Q26" s="79">
        <f t="shared" si="4"/>
        <v>6.75</v>
      </c>
      <c r="R26" s="2">
        <v>6</v>
      </c>
      <c r="S26" s="2">
        <f>'потребность в кормах'!J164</f>
        <v>0</v>
      </c>
      <c r="T26" s="79">
        <f t="shared" si="5"/>
        <v>0</v>
      </c>
      <c r="U26" s="2">
        <v>6</v>
      </c>
      <c r="V26" s="2">
        <f>'потребность в кормах'!K164</f>
        <v>1880</v>
      </c>
      <c r="W26" s="22">
        <f t="shared" si="6"/>
        <v>11.28</v>
      </c>
      <c r="X26" s="41">
        <f t="shared" si="7"/>
        <v>39.435772</v>
      </c>
      <c r="Y26" s="21">
        <f>'потребность в кормах'!L164</f>
        <v>344520</v>
      </c>
      <c r="Z26" s="36">
        <v>0.0108</v>
      </c>
      <c r="AA26" s="39">
        <f t="shared" si="8"/>
        <v>3.720816</v>
      </c>
      <c r="AB26" s="42">
        <f>'потребность в кормах'!N164</f>
        <v>19245</v>
      </c>
      <c r="AC26" s="36">
        <v>0.5</v>
      </c>
      <c r="AD26" s="37">
        <f t="shared" si="9"/>
        <v>9.6225</v>
      </c>
    </row>
    <row r="27" spans="1:30" ht="12.75">
      <c r="A27" s="6"/>
      <c r="B27" s="2">
        <v>10</v>
      </c>
      <c r="C27" s="93">
        <v>0.122</v>
      </c>
      <c r="D27" s="2">
        <f>'потребность в кормах'!E177</f>
        <v>61603</v>
      </c>
      <c r="E27" s="79">
        <f t="shared" si="0"/>
        <v>7.515566</v>
      </c>
      <c r="F27" s="2">
        <v>0.178</v>
      </c>
      <c r="G27" s="2">
        <f>'потребность в кормах'!F177</f>
        <v>51705</v>
      </c>
      <c r="H27" s="79">
        <f t="shared" si="1"/>
        <v>9.20349</v>
      </c>
      <c r="I27" s="2">
        <v>0.327</v>
      </c>
      <c r="J27" s="2">
        <f>'потребность в кормах'!G177</f>
        <v>9644</v>
      </c>
      <c r="K27" s="79">
        <f t="shared" si="2"/>
        <v>3.153588</v>
      </c>
      <c r="L27" s="2">
        <v>8</v>
      </c>
      <c r="M27" s="2">
        <f>'потребность в кормах'!H177</f>
        <v>334</v>
      </c>
      <c r="N27" s="79">
        <f t="shared" si="3"/>
        <v>2.672</v>
      </c>
      <c r="O27" s="2">
        <v>6</v>
      </c>
      <c r="P27" s="2">
        <f>'потребность в кормах'!I177</f>
        <v>1080</v>
      </c>
      <c r="Q27" s="79">
        <f t="shared" si="4"/>
        <v>6.48</v>
      </c>
      <c r="R27" s="2">
        <v>6</v>
      </c>
      <c r="S27" s="2">
        <f>'потребность в кормах'!J177</f>
        <v>0</v>
      </c>
      <c r="T27" s="79">
        <f t="shared" si="5"/>
        <v>0</v>
      </c>
      <c r="U27" s="2">
        <v>6</v>
      </c>
      <c r="V27" s="2">
        <f>'потребность в кормах'!K177</f>
        <v>1880</v>
      </c>
      <c r="W27" s="22">
        <f t="shared" si="6"/>
        <v>11.28</v>
      </c>
      <c r="X27" s="41">
        <f t="shared" si="7"/>
        <v>40.304643999999996</v>
      </c>
      <c r="Y27" s="21">
        <f>'потребность в кормах'!L177</f>
        <v>346140</v>
      </c>
      <c r="Z27" s="36">
        <v>0.0108</v>
      </c>
      <c r="AA27" s="39">
        <f t="shared" si="8"/>
        <v>3.7383120000000005</v>
      </c>
      <c r="AB27" s="42">
        <f>'потребность в кормах'!N177</f>
        <v>19560</v>
      </c>
      <c r="AC27" s="36">
        <v>0.5</v>
      </c>
      <c r="AD27" s="37">
        <f t="shared" si="9"/>
        <v>9.78</v>
      </c>
    </row>
    <row r="28" spans="1:30" ht="12.75">
      <c r="A28" s="6"/>
      <c r="B28" s="2">
        <v>11</v>
      </c>
      <c r="C28" s="93">
        <v>0.122</v>
      </c>
      <c r="D28" s="2">
        <f>'потребность в кормах'!E191</f>
        <v>63625</v>
      </c>
      <c r="E28" s="79">
        <f t="shared" si="0"/>
        <v>7.76225</v>
      </c>
      <c r="F28" s="2">
        <v>0.178</v>
      </c>
      <c r="G28" s="2">
        <f>'потребность в кормах'!F191</f>
        <v>50085</v>
      </c>
      <c r="H28" s="79">
        <f t="shared" si="1"/>
        <v>8.91513</v>
      </c>
      <c r="I28" s="2">
        <v>0.327</v>
      </c>
      <c r="J28" s="2">
        <f>'потребность в кормах'!G191</f>
        <v>9461</v>
      </c>
      <c r="K28" s="79">
        <f t="shared" si="2"/>
        <v>3.0937470000000005</v>
      </c>
      <c r="L28" s="2">
        <v>8</v>
      </c>
      <c r="M28" s="2">
        <f>'потребность в кормах'!H191</f>
        <v>494</v>
      </c>
      <c r="N28" s="79">
        <f t="shared" si="3"/>
        <v>3.952</v>
      </c>
      <c r="O28" s="2">
        <v>6</v>
      </c>
      <c r="P28" s="2">
        <f>'потребность в кормах'!I191</f>
        <v>1053</v>
      </c>
      <c r="Q28" s="79">
        <f t="shared" si="4"/>
        <v>6.318</v>
      </c>
      <c r="R28" s="2">
        <v>6</v>
      </c>
      <c r="S28" s="2">
        <f>'потребность в кормах'!J191</f>
        <v>0</v>
      </c>
      <c r="T28" s="79">
        <f t="shared" si="5"/>
        <v>0</v>
      </c>
      <c r="U28" s="2">
        <v>6</v>
      </c>
      <c r="V28" s="2">
        <f>'потребность в кормах'!K191</f>
        <v>1880</v>
      </c>
      <c r="W28" s="22">
        <f t="shared" si="6"/>
        <v>11.28</v>
      </c>
      <c r="X28" s="41">
        <f t="shared" si="7"/>
        <v>41.321127</v>
      </c>
      <c r="Y28" s="21">
        <f>'потребность в кормах'!L191</f>
        <v>348210</v>
      </c>
      <c r="Z28" s="36">
        <v>0.0108</v>
      </c>
      <c r="AA28" s="39">
        <f t="shared" si="8"/>
        <v>3.760668</v>
      </c>
      <c r="AB28" s="42">
        <f>'потребность в кормах'!N191</f>
        <v>19525</v>
      </c>
      <c r="AC28" s="36">
        <v>0.5</v>
      </c>
      <c r="AD28" s="37">
        <f t="shared" si="9"/>
        <v>9.7625</v>
      </c>
    </row>
    <row r="29" spans="1:30" ht="12.75">
      <c r="A29" s="6"/>
      <c r="B29" s="2">
        <v>12</v>
      </c>
      <c r="C29" s="93">
        <v>0.122</v>
      </c>
      <c r="D29" s="2">
        <f>'потребность в кормах'!E205</f>
        <v>63853</v>
      </c>
      <c r="E29" s="79">
        <f t="shared" si="0"/>
        <v>7.7900659999999995</v>
      </c>
      <c r="F29" s="2">
        <v>0.178</v>
      </c>
      <c r="G29" s="2">
        <f>'потребность в кормах'!F205</f>
        <v>50305</v>
      </c>
      <c r="H29" s="79">
        <f t="shared" si="1"/>
        <v>8.954289999999999</v>
      </c>
      <c r="I29" s="2">
        <v>0.327</v>
      </c>
      <c r="J29" s="2">
        <f>'потребность в кормах'!G205</f>
        <v>9286</v>
      </c>
      <c r="K29" s="79">
        <f t="shared" si="2"/>
        <v>3.0365219999999997</v>
      </c>
      <c r="L29" s="2">
        <v>8</v>
      </c>
      <c r="M29" s="2">
        <f>'потребность в кормах'!H205</f>
        <v>660</v>
      </c>
      <c r="N29" s="79">
        <f t="shared" si="3"/>
        <v>5.28</v>
      </c>
      <c r="O29" s="2">
        <v>6</v>
      </c>
      <c r="P29" s="2">
        <f>'потребность в кормах'!I205</f>
        <v>1026</v>
      </c>
      <c r="Q29" s="79">
        <f t="shared" si="4"/>
        <v>6.156</v>
      </c>
      <c r="R29" s="2">
        <v>6</v>
      </c>
      <c r="S29" s="2">
        <f>'потребность в кормах'!J205</f>
        <v>0</v>
      </c>
      <c r="T29" s="79">
        <f t="shared" si="5"/>
        <v>0</v>
      </c>
      <c r="U29" s="2">
        <v>6</v>
      </c>
      <c r="V29" s="2">
        <f>'потребность в кормах'!K205</f>
        <v>1880</v>
      </c>
      <c r="W29" s="22">
        <f t="shared" si="6"/>
        <v>11.28</v>
      </c>
      <c r="X29" s="41">
        <f t="shared" si="7"/>
        <v>42.496877999999995</v>
      </c>
      <c r="Y29" s="21">
        <f>'потребность в кормах'!L205</f>
        <v>350280</v>
      </c>
      <c r="Z29" s="36">
        <v>0.0108</v>
      </c>
      <c r="AA29" s="39">
        <f t="shared" si="8"/>
        <v>3.783024</v>
      </c>
      <c r="AB29" s="42">
        <f>'потребность в кормах'!N205</f>
        <v>19615</v>
      </c>
      <c r="AC29" s="36">
        <v>0.5</v>
      </c>
      <c r="AD29" s="37">
        <f t="shared" si="9"/>
        <v>9.8075</v>
      </c>
    </row>
    <row r="30" spans="1:30" ht="12.75">
      <c r="A30" s="320" t="s">
        <v>123</v>
      </c>
      <c r="B30" s="350"/>
      <c r="C30" s="94">
        <v>0.122</v>
      </c>
      <c r="D30" s="6">
        <f>SUM(D18:D29)</f>
        <v>681676</v>
      </c>
      <c r="E30" s="82">
        <f t="shared" si="0"/>
        <v>83.16447199999999</v>
      </c>
      <c r="F30" s="6">
        <v>0.178</v>
      </c>
      <c r="G30" s="6">
        <f>SUM(G18:G29)</f>
        <v>688912</v>
      </c>
      <c r="H30" s="82">
        <f t="shared" si="1"/>
        <v>122.626336</v>
      </c>
      <c r="I30" s="6">
        <v>0.327</v>
      </c>
      <c r="J30" s="6">
        <f>SUM(J18:J29)</f>
        <v>102896</v>
      </c>
      <c r="K30" s="82">
        <f t="shared" si="2"/>
        <v>33.646992</v>
      </c>
      <c r="L30" s="6">
        <v>8</v>
      </c>
      <c r="M30" s="6">
        <f>SUM(M18:M29)</f>
        <v>6445</v>
      </c>
      <c r="N30" s="82">
        <f t="shared" si="3"/>
        <v>51.56</v>
      </c>
      <c r="O30" s="6">
        <v>6</v>
      </c>
      <c r="P30" s="6">
        <f>SUM(P18:P29)</f>
        <v>9909</v>
      </c>
      <c r="Q30" s="82">
        <f t="shared" si="4"/>
        <v>59.454</v>
      </c>
      <c r="R30" s="6">
        <v>6</v>
      </c>
      <c r="S30" s="6">
        <f>SUM(S18:S29)</f>
        <v>0</v>
      </c>
      <c r="T30" s="82">
        <f t="shared" si="5"/>
        <v>0</v>
      </c>
      <c r="U30" s="6">
        <v>6</v>
      </c>
      <c r="V30" s="6">
        <f>SUM(V18:V29)</f>
        <v>12140</v>
      </c>
      <c r="W30" s="49">
        <f t="shared" si="6"/>
        <v>72.84</v>
      </c>
      <c r="X30" s="50">
        <f t="shared" si="7"/>
        <v>423.29179999999997</v>
      </c>
      <c r="Y30" s="51">
        <f>SUM(Y18:Y29)</f>
        <v>4085370</v>
      </c>
      <c r="Z30" s="52">
        <v>0.0108</v>
      </c>
      <c r="AA30" s="53">
        <f t="shared" si="8"/>
        <v>44.121995999999996</v>
      </c>
      <c r="AB30" s="54">
        <f>SUM(AB18:AB29)</f>
        <v>215270</v>
      </c>
      <c r="AC30" s="52">
        <v>0.5</v>
      </c>
      <c r="AD30" s="87">
        <f t="shared" si="9"/>
        <v>107.635</v>
      </c>
    </row>
    <row r="31" spans="1:30" ht="12.75">
      <c r="A31" s="8">
        <v>3</v>
      </c>
      <c r="B31" s="2">
        <v>1</v>
      </c>
      <c r="C31" s="93">
        <v>0.122</v>
      </c>
      <c r="D31" s="2">
        <f>'потребность в кормах'!E220</f>
        <v>64149</v>
      </c>
      <c r="E31" s="79">
        <f t="shared" si="0"/>
        <v>7.826178</v>
      </c>
      <c r="F31" s="2">
        <v>0.178</v>
      </c>
      <c r="G31" s="2">
        <f>'потребность в кормах'!F220</f>
        <v>50573</v>
      </c>
      <c r="H31" s="79">
        <f t="shared" si="1"/>
        <v>9.001993999999998</v>
      </c>
      <c r="I31" s="2">
        <v>0.327</v>
      </c>
      <c r="J31" s="2">
        <f>'потребность в кормах'!G220</f>
        <v>9331</v>
      </c>
      <c r="K31" s="79">
        <f t="shared" si="2"/>
        <v>3.051237</v>
      </c>
      <c r="L31" s="2">
        <v>8</v>
      </c>
      <c r="M31" s="2">
        <f>'потребность в кормах'!H220</f>
        <v>816</v>
      </c>
      <c r="N31" s="79">
        <f t="shared" si="3"/>
        <v>6.528</v>
      </c>
      <c r="O31" s="2">
        <v>6</v>
      </c>
      <c r="P31" s="2">
        <f>'потребность в кормах'!I220</f>
        <v>999</v>
      </c>
      <c r="Q31" s="79">
        <f t="shared" si="4"/>
        <v>5.994</v>
      </c>
      <c r="R31" s="2">
        <v>6</v>
      </c>
      <c r="S31" s="2">
        <f>'потребность в кормах'!J220</f>
        <v>0</v>
      </c>
      <c r="T31" s="79">
        <f t="shared" si="5"/>
        <v>0</v>
      </c>
      <c r="U31" s="2">
        <v>6</v>
      </c>
      <c r="V31" s="2">
        <f>'потребность в кормах'!K220</f>
        <v>1880</v>
      </c>
      <c r="W31" s="22">
        <f t="shared" si="6"/>
        <v>11.28</v>
      </c>
      <c r="X31" s="41">
        <f t="shared" si="7"/>
        <v>43.681408999999995</v>
      </c>
      <c r="Y31" s="21">
        <f>'потребность в кормах'!L220</f>
        <v>352350</v>
      </c>
      <c r="Z31" s="36">
        <v>0.0108</v>
      </c>
      <c r="AA31" s="39">
        <f t="shared" si="8"/>
        <v>3.80538</v>
      </c>
      <c r="AB31" s="42">
        <f>'потребность в кормах'!N220</f>
        <v>19605</v>
      </c>
      <c r="AC31" s="36">
        <v>0.5</v>
      </c>
      <c r="AD31" s="37">
        <f t="shared" si="9"/>
        <v>9.8025</v>
      </c>
    </row>
    <row r="32" spans="1:30" ht="12.75">
      <c r="A32" s="8"/>
      <c r="B32" s="2">
        <v>2</v>
      </c>
      <c r="C32" s="93">
        <v>0.122</v>
      </c>
      <c r="D32" s="2">
        <f>'потребность в кормах'!E235</f>
        <v>64569</v>
      </c>
      <c r="E32" s="79">
        <f t="shared" si="0"/>
        <v>7.877418</v>
      </c>
      <c r="F32" s="2">
        <v>0.178</v>
      </c>
      <c r="G32" s="2">
        <f>'потребность в кормах'!F235</f>
        <v>50858</v>
      </c>
      <c r="H32" s="79">
        <f t="shared" si="1"/>
        <v>9.052724</v>
      </c>
      <c r="I32" s="2">
        <v>0.327</v>
      </c>
      <c r="J32" s="2">
        <f>'потребность в кормах'!G235</f>
        <v>9466</v>
      </c>
      <c r="K32" s="79">
        <f t="shared" si="2"/>
        <v>3.095382</v>
      </c>
      <c r="L32" s="2">
        <v>8</v>
      </c>
      <c r="M32" s="2">
        <f>'потребность в кормах'!H235</f>
        <v>816</v>
      </c>
      <c r="N32" s="79">
        <f t="shared" si="3"/>
        <v>6.528</v>
      </c>
      <c r="O32" s="2">
        <v>6</v>
      </c>
      <c r="P32" s="2">
        <f>'потребность в кормах'!I235</f>
        <v>1137</v>
      </c>
      <c r="Q32" s="79">
        <f t="shared" si="4"/>
        <v>6.822</v>
      </c>
      <c r="R32" s="2">
        <v>6</v>
      </c>
      <c r="S32" s="2">
        <f>'потребность в кормах'!J235</f>
        <v>0</v>
      </c>
      <c r="T32" s="79">
        <f t="shared" si="5"/>
        <v>0</v>
      </c>
      <c r="U32" s="2">
        <v>6</v>
      </c>
      <c r="V32" s="2">
        <f>'потребность в кормах'!K235</f>
        <v>1880</v>
      </c>
      <c r="W32" s="22">
        <f t="shared" si="6"/>
        <v>11.28</v>
      </c>
      <c r="X32" s="41">
        <f t="shared" si="7"/>
        <v>44.655524</v>
      </c>
      <c r="Y32" s="21">
        <f>'потребность в кормах'!L235</f>
        <v>354690</v>
      </c>
      <c r="Z32" s="36">
        <v>0.0108</v>
      </c>
      <c r="AA32" s="39">
        <f t="shared" si="8"/>
        <v>3.830652</v>
      </c>
      <c r="AB32" s="42">
        <f>'потребность в кормах'!N235</f>
        <v>20010</v>
      </c>
      <c r="AC32" s="36">
        <v>0.5</v>
      </c>
      <c r="AD32" s="37">
        <f t="shared" si="9"/>
        <v>10.005</v>
      </c>
    </row>
    <row r="33" spans="1:30" ht="12.75">
      <c r="A33" s="8"/>
      <c r="B33" s="2">
        <v>3</v>
      </c>
      <c r="C33" s="93">
        <v>0.122</v>
      </c>
      <c r="D33" s="2">
        <f>'потребность в кормах'!E250</f>
        <v>64989</v>
      </c>
      <c r="E33" s="79">
        <f t="shared" si="0"/>
        <v>7.9286579999999995</v>
      </c>
      <c r="F33" s="2">
        <v>0.178</v>
      </c>
      <c r="G33" s="2">
        <f>'потребность в кормах'!F250</f>
        <v>51143</v>
      </c>
      <c r="H33" s="79">
        <f t="shared" si="1"/>
        <v>9.103454</v>
      </c>
      <c r="I33" s="2">
        <v>0.327</v>
      </c>
      <c r="J33" s="2">
        <f>'потребность в кормах'!G250</f>
        <v>9601</v>
      </c>
      <c r="K33" s="79">
        <f t="shared" si="2"/>
        <v>3.139527</v>
      </c>
      <c r="L33" s="2">
        <v>8</v>
      </c>
      <c r="M33" s="2">
        <f>'потребность в кормах'!H250</f>
        <v>816</v>
      </c>
      <c r="N33" s="79">
        <f t="shared" si="3"/>
        <v>6.528</v>
      </c>
      <c r="O33" s="2">
        <v>6</v>
      </c>
      <c r="P33" s="2">
        <f>'потребность в кормах'!I250</f>
        <v>1275</v>
      </c>
      <c r="Q33" s="79">
        <f t="shared" si="4"/>
        <v>7.65</v>
      </c>
      <c r="R33" s="2">
        <v>6</v>
      </c>
      <c r="S33" s="2">
        <f>'потребность в кормах'!J250</f>
        <v>0</v>
      </c>
      <c r="T33" s="79">
        <f t="shared" si="5"/>
        <v>0</v>
      </c>
      <c r="U33" s="2">
        <v>6</v>
      </c>
      <c r="V33" s="2">
        <f>'потребность в кормах'!K250</f>
        <v>1880</v>
      </c>
      <c r="W33" s="22">
        <f t="shared" si="6"/>
        <v>11.28</v>
      </c>
      <c r="X33" s="41">
        <f t="shared" si="7"/>
        <v>45.629639</v>
      </c>
      <c r="Y33" s="21">
        <f>'потребность в кормах'!L250</f>
        <v>357030</v>
      </c>
      <c r="Z33" s="36">
        <v>0.0108</v>
      </c>
      <c r="AA33" s="39">
        <f t="shared" si="8"/>
        <v>3.855924</v>
      </c>
      <c r="AB33" s="42">
        <f>'потребность в кормах'!N250</f>
        <v>20065</v>
      </c>
      <c r="AC33" s="36">
        <v>0.5</v>
      </c>
      <c r="AD33" s="37">
        <f t="shared" si="9"/>
        <v>10.0325</v>
      </c>
    </row>
    <row r="34" spans="1:30" ht="12.75">
      <c r="A34" s="8"/>
      <c r="B34" s="2">
        <v>4</v>
      </c>
      <c r="C34" s="93">
        <v>0.122</v>
      </c>
      <c r="D34" s="2">
        <f>'потребность в кормах'!E265</f>
        <v>63609</v>
      </c>
      <c r="E34" s="79">
        <f t="shared" si="0"/>
        <v>7.760298</v>
      </c>
      <c r="F34" s="2">
        <v>0.178</v>
      </c>
      <c r="G34" s="2">
        <f>'потребность в кормах'!F265</f>
        <v>56828</v>
      </c>
      <c r="H34" s="79">
        <f t="shared" si="1"/>
        <v>10.115384</v>
      </c>
      <c r="I34" s="2">
        <v>0.327</v>
      </c>
      <c r="J34" s="2">
        <f>'потребность в кормах'!G265</f>
        <v>9016</v>
      </c>
      <c r="K34" s="79">
        <f t="shared" si="2"/>
        <v>2.948232</v>
      </c>
      <c r="L34" s="2">
        <v>8</v>
      </c>
      <c r="M34" s="2">
        <f>'потребность в кормах'!H265</f>
        <v>816</v>
      </c>
      <c r="N34" s="79">
        <f t="shared" si="3"/>
        <v>6.528</v>
      </c>
      <c r="O34" s="2">
        <v>6</v>
      </c>
      <c r="P34" s="2">
        <f>'потребность в кормах'!I265</f>
        <v>1413</v>
      </c>
      <c r="Q34" s="79">
        <f t="shared" si="4"/>
        <v>8.478</v>
      </c>
      <c r="R34" s="2">
        <v>6</v>
      </c>
      <c r="S34" s="2">
        <f>'потребность в кормах'!J265</f>
        <v>0</v>
      </c>
      <c r="T34" s="79">
        <f t="shared" si="5"/>
        <v>0</v>
      </c>
      <c r="U34" s="2">
        <v>6</v>
      </c>
      <c r="V34" s="2">
        <f>'потребность в кормах'!K265</f>
        <v>1880</v>
      </c>
      <c r="W34" s="22">
        <f t="shared" si="6"/>
        <v>11.28</v>
      </c>
      <c r="X34" s="41">
        <f t="shared" si="7"/>
        <v>47.109913999999996</v>
      </c>
      <c r="Y34" s="21">
        <f>'потребность в кормах'!L265</f>
        <v>359370</v>
      </c>
      <c r="Z34" s="36">
        <v>0.0108</v>
      </c>
      <c r="AA34" s="39">
        <f t="shared" si="8"/>
        <v>3.8811960000000005</v>
      </c>
      <c r="AB34" s="42">
        <f>'потребность в кормах'!N265</f>
        <v>20370</v>
      </c>
      <c r="AC34" s="36">
        <v>0.5</v>
      </c>
      <c r="AD34" s="37">
        <f t="shared" si="9"/>
        <v>10.185</v>
      </c>
    </row>
    <row r="35" spans="1:30" ht="12.75">
      <c r="A35" s="8"/>
      <c r="B35" s="2">
        <v>5</v>
      </c>
      <c r="C35" s="93">
        <v>0.122</v>
      </c>
      <c r="D35" s="2">
        <f>'потребность в кормах'!E281</f>
        <v>62244</v>
      </c>
      <c r="E35" s="79">
        <f t="shared" si="0"/>
        <v>7.593768</v>
      </c>
      <c r="F35" s="2">
        <v>0.178</v>
      </c>
      <c r="G35" s="2">
        <f>'потребность в кормах'!F281</f>
        <v>62558</v>
      </c>
      <c r="H35" s="79">
        <f t="shared" si="1"/>
        <v>11.135323999999999</v>
      </c>
      <c r="I35" s="2">
        <v>0.327</v>
      </c>
      <c r="J35" s="2">
        <f>'потребность в кормах'!G281</f>
        <v>8611</v>
      </c>
      <c r="K35" s="79">
        <f t="shared" si="2"/>
        <v>2.815797</v>
      </c>
      <c r="L35" s="2">
        <v>8</v>
      </c>
      <c r="M35" s="2">
        <f>'потребность в кормах'!H281</f>
        <v>816</v>
      </c>
      <c r="N35" s="79">
        <f t="shared" si="3"/>
        <v>6.528</v>
      </c>
      <c r="O35" s="2">
        <v>6</v>
      </c>
      <c r="P35" s="2">
        <f>'потребность в кормах'!I281</f>
        <v>1560</v>
      </c>
      <c r="Q35" s="79">
        <f t="shared" si="4"/>
        <v>9.36</v>
      </c>
      <c r="R35" s="2">
        <v>6</v>
      </c>
      <c r="S35" s="2">
        <f>'потребность в кормах'!J281</f>
        <v>0</v>
      </c>
      <c r="T35" s="79">
        <f t="shared" si="5"/>
        <v>0</v>
      </c>
      <c r="U35" s="2">
        <v>6</v>
      </c>
      <c r="V35" s="2">
        <f>'потребность в кормах'!K281</f>
        <v>1880</v>
      </c>
      <c r="W35" s="22">
        <f t="shared" si="6"/>
        <v>11.28</v>
      </c>
      <c r="X35" s="41">
        <f t="shared" si="7"/>
        <v>48.712889</v>
      </c>
      <c r="Y35" s="21">
        <f>'потребность в кормах'!L281</f>
        <v>361260</v>
      </c>
      <c r="Z35" s="36">
        <v>0.0108</v>
      </c>
      <c r="AA35" s="39">
        <f t="shared" si="8"/>
        <v>3.901608</v>
      </c>
      <c r="AB35" s="42">
        <f>'потребность в кормах'!N281</f>
        <v>20675</v>
      </c>
      <c r="AC35" s="36">
        <v>0.5</v>
      </c>
      <c r="AD35" s="37">
        <f t="shared" si="9"/>
        <v>10.3375</v>
      </c>
    </row>
    <row r="36" spans="1:30" ht="12.75">
      <c r="A36" s="8"/>
      <c r="B36" s="2">
        <v>6</v>
      </c>
      <c r="C36" s="93">
        <v>0.122</v>
      </c>
      <c r="D36" s="2">
        <f>'потребность в кормах'!E297</f>
        <v>62349</v>
      </c>
      <c r="E36" s="79">
        <f t="shared" si="0"/>
        <v>7.606578</v>
      </c>
      <c r="F36" s="2">
        <v>0.178</v>
      </c>
      <c r="G36" s="2">
        <f>'потребность в кормах'!F297</f>
        <v>60188</v>
      </c>
      <c r="H36" s="79">
        <f t="shared" si="1"/>
        <v>10.713464</v>
      </c>
      <c r="I36" s="2">
        <v>0.327</v>
      </c>
      <c r="J36" s="2">
        <f>'потребность в кормах'!G297</f>
        <v>9466</v>
      </c>
      <c r="K36" s="79">
        <f t="shared" si="2"/>
        <v>3.095382</v>
      </c>
      <c r="L36" s="2">
        <v>8</v>
      </c>
      <c r="M36" s="2">
        <f>'потребность в кормах'!H297</f>
        <v>716</v>
      </c>
      <c r="N36" s="79">
        <f t="shared" si="3"/>
        <v>5.728</v>
      </c>
      <c r="O36" s="2">
        <v>6</v>
      </c>
      <c r="P36" s="2">
        <f>'потребность в кормах'!I297</f>
        <v>1707</v>
      </c>
      <c r="Q36" s="79">
        <f t="shared" si="4"/>
        <v>10.242</v>
      </c>
      <c r="R36" s="2">
        <v>6</v>
      </c>
      <c r="S36" s="2">
        <f>'потребность в кормах'!J297</f>
        <v>0</v>
      </c>
      <c r="T36" s="79">
        <f t="shared" si="5"/>
        <v>0</v>
      </c>
      <c r="U36" s="2">
        <v>6</v>
      </c>
      <c r="V36" s="2">
        <f>'потребность в кормах'!K297</f>
        <v>180</v>
      </c>
      <c r="W36" s="22">
        <f t="shared" si="6"/>
        <v>1.08</v>
      </c>
      <c r="X36" s="41">
        <f t="shared" si="7"/>
        <v>38.465424</v>
      </c>
      <c r="Y36" s="21">
        <f>'потребность в кормах'!L297</f>
        <v>357750</v>
      </c>
      <c r="Z36" s="36">
        <v>0.0108</v>
      </c>
      <c r="AA36" s="39">
        <f t="shared" si="8"/>
        <v>3.8637</v>
      </c>
      <c r="AB36" s="42">
        <f>'потребность в кормах'!N297</f>
        <v>18165</v>
      </c>
      <c r="AC36" s="36">
        <v>0.5</v>
      </c>
      <c r="AD36" s="37">
        <f t="shared" si="9"/>
        <v>9.0825</v>
      </c>
    </row>
    <row r="37" spans="1:30" ht="12.75">
      <c r="A37" s="8"/>
      <c r="B37" s="2">
        <v>7</v>
      </c>
      <c r="C37" s="93">
        <v>0.122</v>
      </c>
      <c r="D37" s="2">
        <f>'потребность в кормах'!E313</f>
        <v>62456</v>
      </c>
      <c r="E37" s="79">
        <f t="shared" si="0"/>
        <v>7.619631999999999</v>
      </c>
      <c r="F37" s="2">
        <v>0.178</v>
      </c>
      <c r="G37" s="2">
        <f>'потребность в кормах'!F313</f>
        <v>57818</v>
      </c>
      <c r="H37" s="79">
        <f t="shared" si="1"/>
        <v>10.291604</v>
      </c>
      <c r="I37" s="2">
        <v>0.327</v>
      </c>
      <c r="J37" s="2">
        <f>'потребность в кормах'!G313</f>
        <v>10363</v>
      </c>
      <c r="K37" s="79">
        <f t="shared" si="2"/>
        <v>3.388701</v>
      </c>
      <c r="L37" s="2">
        <v>8</v>
      </c>
      <c r="M37" s="2">
        <f>'потребность в кормах'!H313</f>
        <v>626</v>
      </c>
      <c r="N37" s="79">
        <f t="shared" si="3"/>
        <v>5.008</v>
      </c>
      <c r="O37" s="2">
        <v>6</v>
      </c>
      <c r="P37" s="2">
        <f>'потребность в кормах'!I313</f>
        <v>1854</v>
      </c>
      <c r="Q37" s="79">
        <f t="shared" si="4"/>
        <v>11.124</v>
      </c>
      <c r="R37" s="2">
        <v>6</v>
      </c>
      <c r="S37" s="2">
        <f>'потребность в кормах'!J313</f>
        <v>0</v>
      </c>
      <c r="T37" s="79">
        <f t="shared" si="5"/>
        <v>0</v>
      </c>
      <c r="U37" s="2">
        <v>6</v>
      </c>
      <c r="V37" s="2">
        <f>'потребность в кормах'!K313</f>
        <v>0</v>
      </c>
      <c r="W37" s="22">
        <f t="shared" si="6"/>
        <v>0</v>
      </c>
      <c r="X37" s="41">
        <f t="shared" si="7"/>
        <v>37.431937000000005</v>
      </c>
      <c r="Y37" s="21">
        <f>'потребность в кормах'!L313</f>
        <v>358560</v>
      </c>
      <c r="Z37" s="36">
        <v>0.0108</v>
      </c>
      <c r="AA37" s="39">
        <f t="shared" si="8"/>
        <v>3.8724480000000003</v>
      </c>
      <c r="AB37" s="42">
        <f>'потребность в кормах'!N313</f>
        <v>18430</v>
      </c>
      <c r="AC37" s="36">
        <v>0.5</v>
      </c>
      <c r="AD37" s="37">
        <f t="shared" si="9"/>
        <v>9.215</v>
      </c>
    </row>
    <row r="38" spans="1:30" ht="12.75">
      <c r="A38" s="8"/>
      <c r="B38" s="2">
        <v>8</v>
      </c>
      <c r="C38" s="93">
        <v>0.122</v>
      </c>
      <c r="D38" s="2">
        <f>'потребность в кормах'!E330</f>
        <v>62891</v>
      </c>
      <c r="E38" s="79">
        <f t="shared" si="0"/>
        <v>7.672702</v>
      </c>
      <c r="F38" s="2">
        <v>0.178</v>
      </c>
      <c r="G38" s="2">
        <f>'потребность в кормах'!F330</f>
        <v>58178</v>
      </c>
      <c r="H38" s="79">
        <f t="shared" si="1"/>
        <v>10.355684</v>
      </c>
      <c r="I38" s="2">
        <v>0.327</v>
      </c>
      <c r="J38" s="2">
        <f>'потребность в кормах'!G330</f>
        <v>10487</v>
      </c>
      <c r="K38" s="79">
        <f t="shared" si="2"/>
        <v>3.4292490000000004</v>
      </c>
      <c r="L38" s="2">
        <v>8</v>
      </c>
      <c r="M38" s="2">
        <f>'потребность в кормах'!H330</f>
        <v>582</v>
      </c>
      <c r="N38" s="79">
        <f t="shared" si="3"/>
        <v>4.656</v>
      </c>
      <c r="O38" s="2">
        <v>6</v>
      </c>
      <c r="P38" s="2">
        <f>'потребность в кормах'!I330</f>
        <v>1806</v>
      </c>
      <c r="Q38" s="79">
        <f t="shared" si="4"/>
        <v>10.836</v>
      </c>
      <c r="R38" s="2">
        <v>6</v>
      </c>
      <c r="S38" s="2">
        <f>'потребность в кормах'!J330</f>
        <v>0</v>
      </c>
      <c r="T38" s="79">
        <f t="shared" si="5"/>
        <v>0</v>
      </c>
      <c r="U38" s="2">
        <v>6</v>
      </c>
      <c r="V38" s="2">
        <f>'потребность в кормах'!K330</f>
        <v>1700</v>
      </c>
      <c r="W38" s="22">
        <f t="shared" si="6"/>
        <v>10.2</v>
      </c>
      <c r="X38" s="41">
        <f t="shared" si="7"/>
        <v>47.149635</v>
      </c>
      <c r="Y38" s="21">
        <f>'потребность в кормах'!L330</f>
        <v>364680</v>
      </c>
      <c r="Z38" s="36">
        <v>0.0108</v>
      </c>
      <c r="AA38" s="39">
        <f t="shared" si="8"/>
        <v>3.9385440000000003</v>
      </c>
      <c r="AB38" s="42">
        <f>'потребность в кормах'!N330</f>
        <v>20545</v>
      </c>
      <c r="AC38" s="36">
        <v>0.5</v>
      </c>
      <c r="AD38" s="37">
        <f t="shared" si="9"/>
        <v>10.2725</v>
      </c>
    </row>
    <row r="39" spans="1:30" ht="12.75">
      <c r="A39" s="8"/>
      <c r="B39" s="2">
        <v>9</v>
      </c>
      <c r="C39" s="93">
        <v>0.122</v>
      </c>
      <c r="D39" s="2">
        <f>'потребность в кормах'!E347</f>
        <v>63312</v>
      </c>
      <c r="E39" s="79">
        <f t="shared" si="0"/>
        <v>7.724063999999999</v>
      </c>
      <c r="F39" s="2">
        <v>0.178</v>
      </c>
      <c r="G39" s="2">
        <f>'потребность в кормах'!F347</f>
        <v>58538</v>
      </c>
      <c r="H39" s="79">
        <f t="shared" si="1"/>
        <v>10.419763999999999</v>
      </c>
      <c r="I39" s="2">
        <v>0.327</v>
      </c>
      <c r="J39" s="2">
        <f>'потребность в кормах'!G347</f>
        <v>10553</v>
      </c>
      <c r="K39" s="79">
        <f t="shared" si="2"/>
        <v>3.450831</v>
      </c>
      <c r="L39" s="2">
        <v>8</v>
      </c>
      <c r="M39" s="2">
        <f>'потребность в кормах'!H347</f>
        <v>512</v>
      </c>
      <c r="N39" s="79">
        <f t="shared" si="3"/>
        <v>4.096</v>
      </c>
      <c r="O39" s="2">
        <v>6</v>
      </c>
      <c r="P39" s="2">
        <f>'потребность в кормах'!I347</f>
        <v>1758</v>
      </c>
      <c r="Q39" s="79">
        <f t="shared" si="4"/>
        <v>10.548</v>
      </c>
      <c r="R39" s="2">
        <v>6</v>
      </c>
      <c r="S39" s="2">
        <f>'потребность в кормах'!J347</f>
        <v>0</v>
      </c>
      <c r="T39" s="79">
        <f t="shared" si="5"/>
        <v>0</v>
      </c>
      <c r="U39" s="2">
        <v>6</v>
      </c>
      <c r="V39" s="2">
        <f>'потребность в кормах'!K347</f>
        <v>1880</v>
      </c>
      <c r="W39" s="22">
        <f t="shared" si="6"/>
        <v>11.28</v>
      </c>
      <c r="X39" s="41">
        <f t="shared" si="7"/>
        <v>47.518659</v>
      </c>
      <c r="Y39" s="21">
        <f>'потребность в кормах'!L347</f>
        <v>366480</v>
      </c>
      <c r="Z39" s="36">
        <v>0.0108</v>
      </c>
      <c r="AA39" s="39">
        <f t="shared" si="8"/>
        <v>3.957984</v>
      </c>
      <c r="AB39" s="42">
        <f>'потребность в кормах'!N347</f>
        <v>20825</v>
      </c>
      <c r="AC39" s="36">
        <v>0.5</v>
      </c>
      <c r="AD39" s="37">
        <f t="shared" si="9"/>
        <v>10.4125</v>
      </c>
    </row>
    <row r="40" spans="1:30" ht="12.75">
      <c r="A40" s="8"/>
      <c r="B40" s="2">
        <v>10</v>
      </c>
      <c r="C40" s="93">
        <v>0.122</v>
      </c>
      <c r="D40" s="2">
        <f>'потребность в кормах'!E364</f>
        <v>64923</v>
      </c>
      <c r="E40" s="79">
        <f t="shared" si="0"/>
        <v>7.920605999999999</v>
      </c>
      <c r="F40" s="2">
        <v>0.178</v>
      </c>
      <c r="G40" s="2">
        <f>'потребность в кормах'!F364</f>
        <v>59428</v>
      </c>
      <c r="H40" s="79">
        <f t="shared" si="1"/>
        <v>10.578183999999998</v>
      </c>
      <c r="I40" s="2">
        <v>0.327</v>
      </c>
      <c r="J40" s="2">
        <f>'потребность в кормах'!G364</f>
        <v>10637</v>
      </c>
      <c r="K40" s="79">
        <f t="shared" si="2"/>
        <v>3.478299</v>
      </c>
      <c r="L40" s="2">
        <v>8</v>
      </c>
      <c r="M40" s="2">
        <f>'потребность в кормах'!H364</f>
        <v>520</v>
      </c>
      <c r="N40" s="79">
        <f t="shared" si="3"/>
        <v>4.16</v>
      </c>
      <c r="O40" s="2">
        <v>6</v>
      </c>
      <c r="P40" s="2">
        <f>'потребность в кормах'!I364</f>
        <v>1710</v>
      </c>
      <c r="Q40" s="79">
        <f t="shared" si="4"/>
        <v>10.26</v>
      </c>
      <c r="R40" s="2">
        <v>6</v>
      </c>
      <c r="S40" s="2">
        <f>'потребность в кормах'!J364</f>
        <v>0</v>
      </c>
      <c r="T40" s="79">
        <f t="shared" si="5"/>
        <v>0</v>
      </c>
      <c r="U40" s="2">
        <v>6</v>
      </c>
      <c r="V40" s="2">
        <f>'потребность в кормах'!K364</f>
        <v>2390</v>
      </c>
      <c r="W40" s="22">
        <f t="shared" si="6"/>
        <v>14.34</v>
      </c>
      <c r="X40" s="41">
        <f t="shared" si="7"/>
        <v>50.737089</v>
      </c>
      <c r="Y40" s="21">
        <f>'потребность в кормах'!L364</f>
        <v>375300</v>
      </c>
      <c r="Z40" s="36">
        <v>0.0108</v>
      </c>
      <c r="AA40" s="39">
        <f t="shared" si="8"/>
        <v>4.053240000000001</v>
      </c>
      <c r="AB40" s="42">
        <f>'потребность в кормах'!N364</f>
        <v>21765</v>
      </c>
      <c r="AC40" s="36">
        <v>0.5</v>
      </c>
      <c r="AD40" s="37">
        <f t="shared" si="9"/>
        <v>10.8825</v>
      </c>
    </row>
    <row r="41" spans="1:30" ht="12.75">
      <c r="A41" s="8"/>
      <c r="B41" s="2">
        <v>11</v>
      </c>
      <c r="C41" s="93">
        <v>0.122</v>
      </c>
      <c r="D41" s="2">
        <f>'потребность в кормах'!E381</f>
        <v>65899</v>
      </c>
      <c r="E41" s="79">
        <f t="shared" si="0"/>
        <v>8.039678</v>
      </c>
      <c r="F41" s="2">
        <v>0.178</v>
      </c>
      <c r="G41" s="2">
        <f>'потребность в кормах'!F381</f>
        <v>60900</v>
      </c>
      <c r="H41" s="79">
        <f t="shared" si="1"/>
        <v>10.8402</v>
      </c>
      <c r="I41" s="2">
        <v>0.327</v>
      </c>
      <c r="J41" s="2">
        <f>'потребность в кормах'!G381</f>
        <v>10484</v>
      </c>
      <c r="K41" s="79">
        <f t="shared" si="2"/>
        <v>3.428268</v>
      </c>
      <c r="L41" s="2">
        <v>8</v>
      </c>
      <c r="M41" s="2">
        <f>'потребность в кормах'!H381</f>
        <v>524</v>
      </c>
      <c r="N41" s="79">
        <f t="shared" si="3"/>
        <v>4.192</v>
      </c>
      <c r="O41" s="2">
        <v>6</v>
      </c>
      <c r="P41" s="2">
        <f>'потребность в кормах'!I381</f>
        <v>1632</v>
      </c>
      <c r="Q41" s="79">
        <f t="shared" si="4"/>
        <v>9.792</v>
      </c>
      <c r="R41" s="2">
        <v>6</v>
      </c>
      <c r="S41" s="2">
        <f>'потребность в кормах'!J381</f>
        <v>0</v>
      </c>
      <c r="T41" s="79">
        <f t="shared" si="5"/>
        <v>0</v>
      </c>
      <c r="U41" s="2">
        <v>6</v>
      </c>
      <c r="V41" s="2">
        <f>'потребность в кормах'!K381</f>
        <v>2390</v>
      </c>
      <c r="W41" s="22">
        <f t="shared" si="6"/>
        <v>14.34</v>
      </c>
      <c r="X41" s="41">
        <f t="shared" si="7"/>
        <v>50.632146</v>
      </c>
      <c r="Y41" s="21">
        <f>'потребность в кормах'!L381</f>
        <v>382800</v>
      </c>
      <c r="Z41" s="36">
        <v>0.0108</v>
      </c>
      <c r="AA41" s="39">
        <f t="shared" si="8"/>
        <v>4.13424</v>
      </c>
      <c r="AB41" s="42">
        <f>'потребность в кормах'!N381</f>
        <v>22095</v>
      </c>
      <c r="AC41" s="36">
        <v>0.5</v>
      </c>
      <c r="AD41" s="37">
        <f t="shared" si="9"/>
        <v>11.0475</v>
      </c>
    </row>
    <row r="42" spans="1:30" ht="12.75">
      <c r="A42" s="8"/>
      <c r="B42" s="2">
        <v>12</v>
      </c>
      <c r="C42" s="93">
        <v>0.122</v>
      </c>
      <c r="D42" s="2">
        <f>'потребность в кормах'!E398</f>
        <v>66817</v>
      </c>
      <c r="E42" s="79">
        <f t="shared" si="0"/>
        <v>8.151674</v>
      </c>
      <c r="F42" s="2">
        <v>0.178</v>
      </c>
      <c r="G42" s="2">
        <f>'потребность в кормах'!F398</f>
        <v>61090</v>
      </c>
      <c r="H42" s="79">
        <f t="shared" si="1"/>
        <v>10.874019999999998</v>
      </c>
      <c r="I42" s="2">
        <v>0.327</v>
      </c>
      <c r="J42" s="2">
        <f>'потребность в кормах'!G398</f>
        <v>10459</v>
      </c>
      <c r="K42" s="79">
        <f t="shared" si="2"/>
        <v>3.4200930000000005</v>
      </c>
      <c r="L42" s="2">
        <v>8</v>
      </c>
      <c r="M42" s="2">
        <f>'потребность в кормах'!H398</f>
        <v>690</v>
      </c>
      <c r="N42" s="79">
        <f t="shared" si="3"/>
        <v>5.52</v>
      </c>
      <c r="O42" s="2">
        <v>6</v>
      </c>
      <c r="P42" s="2">
        <f>'потребность в кормах'!I398</f>
        <v>1404</v>
      </c>
      <c r="Q42" s="79">
        <f t="shared" si="4"/>
        <v>8.424</v>
      </c>
      <c r="R42" s="2">
        <v>6</v>
      </c>
      <c r="S42" s="2">
        <f>'потребность в кормах'!J398</f>
        <v>0</v>
      </c>
      <c r="T42" s="79">
        <f t="shared" si="5"/>
        <v>0</v>
      </c>
      <c r="U42" s="2">
        <v>6</v>
      </c>
      <c r="V42" s="2">
        <f>'потребность в кормах'!K398</f>
        <v>2390</v>
      </c>
      <c r="W42" s="22">
        <f t="shared" si="6"/>
        <v>14.34</v>
      </c>
      <c r="X42" s="41">
        <f t="shared" si="7"/>
        <v>50.729787</v>
      </c>
      <c r="Y42" s="21">
        <f>'потребность в кормах'!L398</f>
        <v>386940</v>
      </c>
      <c r="Z42" s="36">
        <v>0.0108</v>
      </c>
      <c r="AA42" s="39">
        <f t="shared" si="8"/>
        <v>4.178952000000001</v>
      </c>
      <c r="AB42" s="42">
        <f>'потребность в кормах'!N398</f>
        <v>22195</v>
      </c>
      <c r="AC42" s="36">
        <v>0.5</v>
      </c>
      <c r="AD42" s="37">
        <f t="shared" si="9"/>
        <v>11.0975</v>
      </c>
    </row>
    <row r="43" spans="1:30" ht="12.75">
      <c r="A43" s="325" t="s">
        <v>124</v>
      </c>
      <c r="B43" s="327"/>
      <c r="C43" s="95">
        <v>0.122</v>
      </c>
      <c r="D43" s="8">
        <f>SUM(D31:D42)</f>
        <v>768207</v>
      </c>
      <c r="E43" s="83">
        <f t="shared" si="0"/>
        <v>93.721254</v>
      </c>
      <c r="F43" s="8">
        <v>0.178</v>
      </c>
      <c r="G43" s="8">
        <f>SUM(G31:G42)</f>
        <v>688100</v>
      </c>
      <c r="H43" s="83">
        <f t="shared" si="1"/>
        <v>122.48179999999999</v>
      </c>
      <c r="I43" s="8">
        <v>0.327</v>
      </c>
      <c r="J43" s="8">
        <f>SUM(J31:J42)</f>
        <v>118474</v>
      </c>
      <c r="K43" s="83">
        <f t="shared" si="2"/>
        <v>38.740998</v>
      </c>
      <c r="L43" s="8">
        <v>8</v>
      </c>
      <c r="M43" s="8">
        <f>SUM(M31:M42)</f>
        <v>8250</v>
      </c>
      <c r="N43" s="83">
        <f t="shared" si="3"/>
        <v>66</v>
      </c>
      <c r="O43" s="8">
        <v>6</v>
      </c>
      <c r="P43" s="8">
        <f>SUM(P31:P42)</f>
        <v>18255</v>
      </c>
      <c r="Q43" s="83">
        <f t="shared" si="4"/>
        <v>109.53</v>
      </c>
      <c r="R43" s="8">
        <v>6</v>
      </c>
      <c r="S43" s="8">
        <f>SUM(S31:S42)</f>
        <v>0</v>
      </c>
      <c r="T43" s="83">
        <f t="shared" si="5"/>
        <v>0</v>
      </c>
      <c r="U43" s="8">
        <v>6</v>
      </c>
      <c r="V43" s="8">
        <f>SUM(V31:V42)</f>
        <v>20330</v>
      </c>
      <c r="W43" s="55">
        <f t="shared" si="6"/>
        <v>121.98</v>
      </c>
      <c r="X43" s="56">
        <f t="shared" si="7"/>
        <v>552.454052</v>
      </c>
      <c r="Y43" s="57">
        <f>SUM(Y31:Y42)</f>
        <v>4377210</v>
      </c>
      <c r="Z43" s="58">
        <v>0.0108</v>
      </c>
      <c r="AA43" s="59">
        <f t="shared" si="8"/>
        <v>47.273868</v>
      </c>
      <c r="AB43" s="60">
        <f>SUM(AB31:AB42)</f>
        <v>244745</v>
      </c>
      <c r="AC43" s="58">
        <v>0.5</v>
      </c>
      <c r="AD43" s="88">
        <f t="shared" si="9"/>
        <v>122.3725</v>
      </c>
    </row>
    <row r="44" spans="1:30" ht="12.75">
      <c r="A44" s="61">
        <v>4</v>
      </c>
      <c r="B44" s="2">
        <v>1</v>
      </c>
      <c r="C44" s="93">
        <v>0.122</v>
      </c>
      <c r="D44" s="2">
        <f>'потребность в кормах'!E416</f>
        <v>66303</v>
      </c>
      <c r="E44" s="79">
        <f t="shared" si="0"/>
        <v>8.088966</v>
      </c>
      <c r="F44" s="2">
        <v>0.178</v>
      </c>
      <c r="G44" s="2">
        <f>'потребность в кормах'!F416</f>
        <v>60728</v>
      </c>
      <c r="H44" s="79">
        <f t="shared" si="1"/>
        <v>10.809584</v>
      </c>
      <c r="I44" s="2">
        <v>0.327</v>
      </c>
      <c r="J44" s="2">
        <f>'потребность в кормах'!G416</f>
        <v>10534</v>
      </c>
      <c r="K44" s="79">
        <f t="shared" si="2"/>
        <v>3.4446179999999997</v>
      </c>
      <c r="L44" s="2">
        <v>8</v>
      </c>
      <c r="M44" s="2">
        <f>'потребность в кормах'!H416</f>
        <v>846</v>
      </c>
      <c r="N44" s="79">
        <f t="shared" si="3"/>
        <v>6.768</v>
      </c>
      <c r="O44" s="2">
        <v>6</v>
      </c>
      <c r="P44" s="2">
        <f>'потребность в кормах'!I416</f>
        <v>1176</v>
      </c>
      <c r="Q44" s="79">
        <f t="shared" si="4"/>
        <v>7.056</v>
      </c>
      <c r="R44" s="2">
        <v>6</v>
      </c>
      <c r="S44" s="2">
        <f>'потребность в кормах'!J416</f>
        <v>0</v>
      </c>
      <c r="T44" s="79">
        <f t="shared" si="5"/>
        <v>0</v>
      </c>
      <c r="U44" s="2">
        <v>6</v>
      </c>
      <c r="V44" s="2">
        <f>'потребность в кормах'!K416</f>
        <v>2390</v>
      </c>
      <c r="W44" s="22">
        <f t="shared" si="6"/>
        <v>14.34</v>
      </c>
      <c r="X44" s="41">
        <f t="shared" si="7"/>
        <v>50.507168</v>
      </c>
      <c r="Y44" s="21">
        <f>'потребность в кормах'!L416</f>
        <v>385080</v>
      </c>
      <c r="Z44" s="36">
        <v>0.0108</v>
      </c>
      <c r="AA44" s="39">
        <f t="shared" si="8"/>
        <v>4.158864</v>
      </c>
      <c r="AB44" s="42">
        <f>'потребность в кормах'!N416</f>
        <v>22040</v>
      </c>
      <c r="AC44" s="36">
        <v>0.5</v>
      </c>
      <c r="AD44" s="37">
        <f t="shared" si="9"/>
        <v>11.02</v>
      </c>
    </row>
    <row r="45" spans="1:30" ht="12.75">
      <c r="A45" s="9"/>
      <c r="B45" s="2">
        <v>2</v>
      </c>
      <c r="C45" s="93">
        <v>0.122</v>
      </c>
      <c r="D45" s="2">
        <f>'потребность в кормах'!E433</f>
        <v>66078</v>
      </c>
      <c r="E45" s="79">
        <f t="shared" si="0"/>
        <v>8.061516</v>
      </c>
      <c r="F45" s="2">
        <v>0.178</v>
      </c>
      <c r="G45" s="2">
        <f>'потребность в кормах'!F433</f>
        <v>60538</v>
      </c>
      <c r="H45" s="79">
        <f t="shared" si="1"/>
        <v>10.775763999999999</v>
      </c>
      <c r="I45" s="2">
        <v>0.327</v>
      </c>
      <c r="J45" s="2">
        <f>'потребность в кормах'!G433</f>
        <v>10474</v>
      </c>
      <c r="K45" s="79">
        <f t="shared" si="2"/>
        <v>3.424998</v>
      </c>
      <c r="L45" s="2">
        <v>8</v>
      </c>
      <c r="M45" s="2">
        <f>'потребность в кормах'!H433</f>
        <v>846</v>
      </c>
      <c r="N45" s="79">
        <f t="shared" si="3"/>
        <v>6.768</v>
      </c>
      <c r="O45" s="2">
        <v>6</v>
      </c>
      <c r="P45" s="2">
        <f>'потребность в кормах'!I433</f>
        <v>1288</v>
      </c>
      <c r="Q45" s="79">
        <f t="shared" si="4"/>
        <v>7.728</v>
      </c>
      <c r="R45" s="2">
        <v>6</v>
      </c>
      <c r="S45" s="2">
        <f>'потребность в кормах'!J433</f>
        <v>0</v>
      </c>
      <c r="T45" s="79">
        <f t="shared" si="5"/>
        <v>0</v>
      </c>
      <c r="U45" s="2">
        <v>6</v>
      </c>
      <c r="V45" s="2">
        <f>'потребность в кормах'!K433</f>
        <v>2390</v>
      </c>
      <c r="W45" s="22">
        <f t="shared" si="6"/>
        <v>14.34</v>
      </c>
      <c r="X45" s="41">
        <f t="shared" si="7"/>
        <v>51.09827799999999</v>
      </c>
      <c r="Y45" s="21">
        <f>'потребность в кормах'!L433</f>
        <v>383880</v>
      </c>
      <c r="Z45" s="36">
        <v>0.0108</v>
      </c>
      <c r="AA45" s="39">
        <f t="shared" si="8"/>
        <v>4.145904000000001</v>
      </c>
      <c r="AB45" s="42">
        <f>'потребность в кормах'!N433</f>
        <v>21775</v>
      </c>
      <c r="AC45" s="36">
        <v>0.5</v>
      </c>
      <c r="AD45" s="37">
        <f t="shared" si="9"/>
        <v>10.8875</v>
      </c>
    </row>
    <row r="46" spans="1:30" ht="12.75">
      <c r="A46" s="9"/>
      <c r="B46" s="2">
        <v>3</v>
      </c>
      <c r="C46" s="93">
        <v>0.122</v>
      </c>
      <c r="D46" s="2">
        <f>'потребность в кормах'!E450</f>
        <v>65793</v>
      </c>
      <c r="E46" s="79">
        <f t="shared" si="0"/>
        <v>8.026746</v>
      </c>
      <c r="F46" s="2">
        <v>0.178</v>
      </c>
      <c r="G46" s="2">
        <f>'потребность в кормах'!F450</f>
        <v>60258</v>
      </c>
      <c r="H46" s="79">
        <f t="shared" si="1"/>
        <v>10.725924</v>
      </c>
      <c r="I46" s="2">
        <v>0.327</v>
      </c>
      <c r="J46" s="2">
        <f>'потребность в кормах'!G450</f>
        <v>10234</v>
      </c>
      <c r="K46" s="79">
        <f t="shared" si="2"/>
        <v>3.346518</v>
      </c>
      <c r="L46" s="2">
        <v>8</v>
      </c>
      <c r="M46" s="2">
        <f>'потребность в кормах'!H450</f>
        <v>846</v>
      </c>
      <c r="N46" s="79">
        <f t="shared" si="3"/>
        <v>6.768</v>
      </c>
      <c r="O46" s="2">
        <v>6</v>
      </c>
      <c r="P46" s="2">
        <f>'потребность в кормах'!I450</f>
        <v>1430</v>
      </c>
      <c r="Q46" s="79">
        <f t="shared" si="4"/>
        <v>8.58</v>
      </c>
      <c r="R46" s="2">
        <v>6</v>
      </c>
      <c r="S46" s="2">
        <f>'потребность в кормах'!J450</f>
        <v>0</v>
      </c>
      <c r="T46" s="79">
        <f t="shared" si="5"/>
        <v>0</v>
      </c>
      <c r="U46" s="2">
        <v>6</v>
      </c>
      <c r="V46" s="2">
        <f>'потребность в кормах'!K450</f>
        <v>2390</v>
      </c>
      <c r="W46" s="22">
        <f t="shared" si="6"/>
        <v>14.34</v>
      </c>
      <c r="X46" s="41">
        <f t="shared" si="7"/>
        <v>51.787188</v>
      </c>
      <c r="Y46" s="21">
        <f>'потребность в кормах'!L450</f>
        <v>382680</v>
      </c>
      <c r="Z46" s="36">
        <v>0.0108</v>
      </c>
      <c r="AA46" s="39">
        <f t="shared" si="8"/>
        <v>4.132944</v>
      </c>
      <c r="AB46" s="42">
        <f>'потребность в кормах'!N450</f>
        <v>21435</v>
      </c>
      <c r="AC46" s="36">
        <v>0.5</v>
      </c>
      <c r="AD46" s="37">
        <f t="shared" si="9"/>
        <v>10.7175</v>
      </c>
    </row>
    <row r="47" spans="1:30" ht="12.75">
      <c r="A47" s="9"/>
      <c r="B47" s="2">
        <v>4</v>
      </c>
      <c r="C47" s="93">
        <v>0.122</v>
      </c>
      <c r="D47" s="2">
        <f>'потребность в кормах'!E467</f>
        <v>66264</v>
      </c>
      <c r="E47" s="79">
        <f t="shared" si="0"/>
        <v>8.084208</v>
      </c>
      <c r="F47" s="2">
        <v>0.178</v>
      </c>
      <c r="G47" s="2">
        <f>'потребность в кормах'!F467</f>
        <v>60608</v>
      </c>
      <c r="H47" s="79">
        <f t="shared" si="1"/>
        <v>10.788224</v>
      </c>
      <c r="I47" s="2">
        <v>0.327</v>
      </c>
      <c r="J47" s="2">
        <f>'потребность в кормах'!G467</f>
        <v>10156</v>
      </c>
      <c r="K47" s="79">
        <f t="shared" si="2"/>
        <v>3.321012</v>
      </c>
      <c r="L47" s="2">
        <v>8</v>
      </c>
      <c r="M47" s="2">
        <f>'потребность в кормах'!H467</f>
        <v>816</v>
      </c>
      <c r="N47" s="79">
        <f t="shared" si="3"/>
        <v>6.528</v>
      </c>
      <c r="O47" s="2">
        <v>6</v>
      </c>
      <c r="P47" s="2">
        <f>'потребность в кормах'!I467</f>
        <v>1572</v>
      </c>
      <c r="Q47" s="79">
        <f t="shared" si="4"/>
        <v>9.432</v>
      </c>
      <c r="R47" s="2">
        <v>6</v>
      </c>
      <c r="S47" s="2">
        <f>'потребность в кормах'!J467</f>
        <v>0</v>
      </c>
      <c r="T47" s="79">
        <f t="shared" si="5"/>
        <v>0</v>
      </c>
      <c r="U47" s="2">
        <v>6</v>
      </c>
      <c r="V47" s="2">
        <f>'потребность в кормах'!K467</f>
        <v>1880</v>
      </c>
      <c r="W47" s="22">
        <f t="shared" si="6"/>
        <v>11.28</v>
      </c>
      <c r="X47" s="41">
        <f t="shared" si="7"/>
        <v>49.433443999999994</v>
      </c>
      <c r="Y47" s="21">
        <f>'потребность в кормах'!L467</f>
        <v>383460</v>
      </c>
      <c r="Z47" s="36">
        <v>0.0108</v>
      </c>
      <c r="AA47" s="39">
        <f t="shared" si="8"/>
        <v>4.141368000000001</v>
      </c>
      <c r="AB47" s="42">
        <f>'потребность в кормах'!N467</f>
        <v>21105</v>
      </c>
      <c r="AC47" s="36">
        <v>0.5</v>
      </c>
      <c r="AD47" s="37">
        <f t="shared" si="9"/>
        <v>10.5525</v>
      </c>
    </row>
    <row r="48" spans="1:30" ht="12.75">
      <c r="A48" s="9"/>
      <c r="B48" s="2">
        <v>5</v>
      </c>
      <c r="C48" s="93">
        <v>0.122</v>
      </c>
      <c r="D48" s="2">
        <f>'потребность в кормах'!E484</f>
        <v>66804</v>
      </c>
      <c r="E48" s="79">
        <f t="shared" si="0"/>
        <v>8.150088</v>
      </c>
      <c r="F48" s="2">
        <v>0.178</v>
      </c>
      <c r="G48" s="2">
        <f>'потребность в кормах'!F484</f>
        <v>61048</v>
      </c>
      <c r="H48" s="79">
        <f t="shared" si="1"/>
        <v>10.866544</v>
      </c>
      <c r="I48" s="2">
        <v>0.327</v>
      </c>
      <c r="J48" s="2">
        <f>'потребность в кормах'!G484</f>
        <v>10306</v>
      </c>
      <c r="K48" s="79">
        <f t="shared" si="2"/>
        <v>3.3700620000000003</v>
      </c>
      <c r="L48" s="2">
        <v>8</v>
      </c>
      <c r="M48" s="2">
        <f>'потребность в кормах'!H484</f>
        <v>816</v>
      </c>
      <c r="N48" s="79">
        <f t="shared" si="3"/>
        <v>6.528</v>
      </c>
      <c r="O48" s="2">
        <v>6</v>
      </c>
      <c r="P48" s="2">
        <f>'потребность в кормах'!I484</f>
        <v>1692</v>
      </c>
      <c r="Q48" s="79">
        <f t="shared" si="4"/>
        <v>10.152</v>
      </c>
      <c r="R48" s="2">
        <v>6</v>
      </c>
      <c r="S48" s="2">
        <f>'потребность в кормах'!J484</f>
        <v>0</v>
      </c>
      <c r="T48" s="79">
        <f t="shared" si="5"/>
        <v>0</v>
      </c>
      <c r="U48" s="2">
        <v>6</v>
      </c>
      <c r="V48" s="2">
        <f>'потребность в кормах'!K484</f>
        <v>1880</v>
      </c>
      <c r="W48" s="22">
        <f t="shared" si="6"/>
        <v>11.28</v>
      </c>
      <c r="X48" s="41">
        <f t="shared" si="7"/>
        <v>50.346694</v>
      </c>
      <c r="Y48" s="21">
        <f>'потребность в кормах'!L484</f>
        <v>385860</v>
      </c>
      <c r="Z48" s="36">
        <v>0.0108</v>
      </c>
      <c r="AA48" s="39">
        <f t="shared" si="8"/>
        <v>4.167288</v>
      </c>
      <c r="AB48" s="42">
        <f>'потребность в кормах'!N484</f>
        <v>21510</v>
      </c>
      <c r="AC48" s="36">
        <v>0.5</v>
      </c>
      <c r="AD48" s="37">
        <f t="shared" si="9"/>
        <v>10.755</v>
      </c>
    </row>
    <row r="49" spans="1:30" ht="12.75">
      <c r="A49" s="9"/>
      <c r="B49" s="2">
        <v>6</v>
      </c>
      <c r="C49" s="93">
        <v>0.122</v>
      </c>
      <c r="D49" s="2">
        <f>'потребность в кормах'!E501</f>
        <v>67254</v>
      </c>
      <c r="E49" s="79">
        <f t="shared" si="0"/>
        <v>8.204988</v>
      </c>
      <c r="F49" s="2">
        <v>0.178</v>
      </c>
      <c r="G49" s="2">
        <f>'потребность в кормах'!F501</f>
        <v>61398</v>
      </c>
      <c r="H49" s="79">
        <f t="shared" si="1"/>
        <v>10.928844</v>
      </c>
      <c r="I49" s="2">
        <v>0.327</v>
      </c>
      <c r="J49" s="2">
        <f>'потребность в кормах'!G501</f>
        <v>10636</v>
      </c>
      <c r="K49" s="79">
        <f t="shared" si="2"/>
        <v>3.4779720000000003</v>
      </c>
      <c r="L49" s="2">
        <v>8</v>
      </c>
      <c r="M49" s="2">
        <f>'потребность в кормах'!H501</f>
        <v>816</v>
      </c>
      <c r="N49" s="79">
        <f t="shared" si="3"/>
        <v>6.528</v>
      </c>
      <c r="O49" s="2">
        <v>6</v>
      </c>
      <c r="P49" s="2">
        <f>'потребность в кормах'!I501</f>
        <v>1812</v>
      </c>
      <c r="Q49" s="79">
        <f t="shared" si="4"/>
        <v>10.872</v>
      </c>
      <c r="R49" s="2">
        <v>6</v>
      </c>
      <c r="S49" s="2">
        <f>'потребность в кормах'!J501</f>
        <v>0</v>
      </c>
      <c r="T49" s="79">
        <f t="shared" si="5"/>
        <v>0</v>
      </c>
      <c r="U49" s="2">
        <v>6</v>
      </c>
      <c r="V49" s="2">
        <f>'потребность в кормах'!K501</f>
        <v>1880</v>
      </c>
      <c r="W49" s="22">
        <f t="shared" si="6"/>
        <v>11.28</v>
      </c>
      <c r="X49" s="41">
        <f t="shared" si="7"/>
        <v>51.291804</v>
      </c>
      <c r="Y49" s="21">
        <f>'потребность в кормах'!L501</f>
        <v>387900</v>
      </c>
      <c r="Z49" s="36">
        <v>0.0108</v>
      </c>
      <c r="AA49" s="39">
        <f t="shared" si="8"/>
        <v>4.18932</v>
      </c>
      <c r="AB49" s="42">
        <f>'потребность в кормах'!N501</f>
        <v>21465</v>
      </c>
      <c r="AC49" s="36">
        <v>0.5</v>
      </c>
      <c r="AD49" s="37">
        <f t="shared" si="9"/>
        <v>10.7325</v>
      </c>
    </row>
    <row r="50" spans="1:30" ht="12.75">
      <c r="A50" s="9"/>
      <c r="B50" s="2">
        <v>7</v>
      </c>
      <c r="C50" s="93">
        <v>0.122</v>
      </c>
      <c r="D50" s="2">
        <f>'потребность в кормах'!E518</f>
        <v>67704</v>
      </c>
      <c r="E50" s="79">
        <f t="shared" si="0"/>
        <v>8.259887999999998</v>
      </c>
      <c r="F50" s="2">
        <v>0.178</v>
      </c>
      <c r="G50" s="2">
        <f>'потребность в кормах'!F518</f>
        <v>61748</v>
      </c>
      <c r="H50" s="79">
        <f t="shared" si="1"/>
        <v>10.991144</v>
      </c>
      <c r="I50" s="2">
        <v>0.327</v>
      </c>
      <c r="J50" s="2">
        <f>'потребность в кормах'!G518</f>
        <v>10966</v>
      </c>
      <c r="K50" s="79">
        <f t="shared" si="2"/>
        <v>3.5858820000000002</v>
      </c>
      <c r="L50" s="2">
        <v>8</v>
      </c>
      <c r="M50" s="2">
        <f>'потребность в кормах'!H518</f>
        <v>816</v>
      </c>
      <c r="N50" s="79">
        <f t="shared" si="3"/>
        <v>6.528</v>
      </c>
      <c r="O50" s="2">
        <v>6</v>
      </c>
      <c r="P50" s="2">
        <f>'потребность в кормах'!I518</f>
        <v>1932</v>
      </c>
      <c r="Q50" s="79">
        <f t="shared" si="4"/>
        <v>11.592</v>
      </c>
      <c r="R50" s="2">
        <v>6</v>
      </c>
      <c r="S50" s="2">
        <f>'потребность в кормах'!J518</f>
        <v>0</v>
      </c>
      <c r="T50" s="79">
        <f t="shared" si="5"/>
        <v>0</v>
      </c>
      <c r="U50" s="2">
        <v>6</v>
      </c>
      <c r="V50" s="2">
        <f>'потребность в кормах'!K518</f>
        <v>1880</v>
      </c>
      <c r="W50" s="22">
        <f t="shared" si="6"/>
        <v>11.28</v>
      </c>
      <c r="X50" s="41">
        <f t="shared" si="7"/>
        <v>52.23691399999999</v>
      </c>
      <c r="Y50" s="21">
        <f>'потребность в кормах'!L518</f>
        <v>389940</v>
      </c>
      <c r="Z50" s="36">
        <v>0.0108</v>
      </c>
      <c r="AA50" s="39">
        <f t="shared" si="8"/>
        <v>4.211352</v>
      </c>
      <c r="AB50" s="42">
        <f>'потребность в кормах'!N518</f>
        <v>21745</v>
      </c>
      <c r="AC50" s="36">
        <v>0.5</v>
      </c>
      <c r="AD50" s="37">
        <f t="shared" si="9"/>
        <v>10.8725</v>
      </c>
    </row>
    <row r="51" spans="1:30" ht="12.75">
      <c r="A51" s="9"/>
      <c r="B51" s="2">
        <v>8</v>
      </c>
      <c r="C51" s="93">
        <v>0.122</v>
      </c>
      <c r="D51" s="2">
        <f>'потребность в кормах'!E535</f>
        <v>68214</v>
      </c>
      <c r="E51" s="79">
        <f t="shared" si="0"/>
        <v>8.322108</v>
      </c>
      <c r="F51" s="2">
        <v>0.178</v>
      </c>
      <c r="G51" s="2">
        <f>'потребность в кормах'!F535</f>
        <v>62168</v>
      </c>
      <c r="H51" s="79">
        <f t="shared" si="1"/>
        <v>11.065903999999998</v>
      </c>
      <c r="I51" s="2">
        <v>0.327</v>
      </c>
      <c r="J51" s="2">
        <f>'потребность в кормах'!G535</f>
        <v>11086</v>
      </c>
      <c r="K51" s="79">
        <f t="shared" si="2"/>
        <v>3.625122</v>
      </c>
      <c r="L51" s="2">
        <v>8</v>
      </c>
      <c r="M51" s="2">
        <f>'потребность в кормах'!H535</f>
        <v>816</v>
      </c>
      <c r="N51" s="79">
        <f t="shared" si="3"/>
        <v>6.528</v>
      </c>
      <c r="O51" s="2">
        <v>6</v>
      </c>
      <c r="P51" s="2">
        <f>'потребность в кормах'!I535</f>
        <v>1932</v>
      </c>
      <c r="Q51" s="79">
        <f t="shared" si="4"/>
        <v>11.592</v>
      </c>
      <c r="R51" s="2">
        <v>6</v>
      </c>
      <c r="S51" s="2">
        <f>'потребность в кормах'!J535</f>
        <v>0</v>
      </c>
      <c r="T51" s="79">
        <f t="shared" si="5"/>
        <v>0</v>
      </c>
      <c r="U51" s="2">
        <v>6</v>
      </c>
      <c r="V51" s="2">
        <f>'потребность в кормах'!K535</f>
        <v>1880</v>
      </c>
      <c r="W51" s="22">
        <f t="shared" si="6"/>
        <v>11.28</v>
      </c>
      <c r="X51" s="41">
        <f t="shared" si="7"/>
        <v>52.41313399999999</v>
      </c>
      <c r="Y51" s="21">
        <f>'потребность в кормах'!L535</f>
        <v>392340</v>
      </c>
      <c r="Z51" s="36">
        <v>0.0108</v>
      </c>
      <c r="AA51" s="39">
        <f t="shared" si="8"/>
        <v>4.237272</v>
      </c>
      <c r="AB51" s="42">
        <f>'потребность в кормах'!N535</f>
        <v>22050</v>
      </c>
      <c r="AC51" s="36">
        <v>0.5</v>
      </c>
      <c r="AD51" s="37">
        <f t="shared" si="9"/>
        <v>11.025</v>
      </c>
    </row>
    <row r="52" spans="1:30" ht="12.75">
      <c r="A52" s="9"/>
      <c r="B52" s="2">
        <v>9</v>
      </c>
      <c r="C52" s="93">
        <v>0.122</v>
      </c>
      <c r="D52" s="2">
        <f>'потребность в кормах'!E552</f>
        <v>68694</v>
      </c>
      <c r="E52" s="79">
        <f t="shared" si="0"/>
        <v>8.380668</v>
      </c>
      <c r="F52" s="2">
        <v>0.178</v>
      </c>
      <c r="G52" s="2">
        <f>'потребность в кормах'!F552</f>
        <v>62558</v>
      </c>
      <c r="H52" s="79">
        <f t="shared" si="1"/>
        <v>11.135323999999999</v>
      </c>
      <c r="I52" s="2">
        <v>0.327</v>
      </c>
      <c r="J52" s="2">
        <f>'потребность в кормах'!G552</f>
        <v>11176</v>
      </c>
      <c r="K52" s="79">
        <f t="shared" si="2"/>
        <v>3.6545520000000002</v>
      </c>
      <c r="L52" s="2">
        <v>8</v>
      </c>
      <c r="M52" s="2">
        <f>'потребность в кормах'!H552</f>
        <v>816</v>
      </c>
      <c r="N52" s="79">
        <f t="shared" si="3"/>
        <v>6.528</v>
      </c>
      <c r="O52" s="2">
        <v>6</v>
      </c>
      <c r="P52" s="2">
        <f>'потребность в кормах'!I552</f>
        <v>1950</v>
      </c>
      <c r="Q52" s="79">
        <f t="shared" si="4"/>
        <v>11.7</v>
      </c>
      <c r="R52" s="2">
        <v>6</v>
      </c>
      <c r="S52" s="2">
        <f>'потребность в кормах'!J552</f>
        <v>0</v>
      </c>
      <c r="T52" s="79">
        <f t="shared" si="5"/>
        <v>0</v>
      </c>
      <c r="U52" s="2">
        <v>6</v>
      </c>
      <c r="V52" s="2">
        <f>'потребность в кормах'!K552</f>
        <v>1880</v>
      </c>
      <c r="W52" s="22">
        <f t="shared" si="6"/>
        <v>11.28</v>
      </c>
      <c r="X52" s="41">
        <f t="shared" si="7"/>
        <v>52.678543999999995</v>
      </c>
      <c r="Y52" s="21">
        <f>'потребность в кормах'!L552</f>
        <v>394440</v>
      </c>
      <c r="Z52" s="36">
        <v>0.0108</v>
      </c>
      <c r="AA52" s="39">
        <f t="shared" si="8"/>
        <v>4.259952</v>
      </c>
      <c r="AB52" s="42">
        <f>'потребность в кормах'!N552</f>
        <v>22305</v>
      </c>
      <c r="AC52" s="36">
        <v>0.5</v>
      </c>
      <c r="AD52" s="37">
        <f t="shared" si="9"/>
        <v>11.1525</v>
      </c>
    </row>
    <row r="53" spans="1:30" ht="12.75">
      <c r="A53" s="9"/>
      <c r="B53" s="2">
        <v>10</v>
      </c>
      <c r="C53" s="93">
        <v>0.122</v>
      </c>
      <c r="D53" s="2">
        <f>'потребность в кормах'!E569</f>
        <v>68670</v>
      </c>
      <c r="E53" s="79">
        <f t="shared" si="0"/>
        <v>8.37774</v>
      </c>
      <c r="F53" s="2">
        <v>0.178</v>
      </c>
      <c r="G53" s="2">
        <f>'потребность в кормах'!F569</f>
        <v>62528</v>
      </c>
      <c r="H53" s="79">
        <f t="shared" si="1"/>
        <v>11.129984</v>
      </c>
      <c r="I53" s="2">
        <v>0.327</v>
      </c>
      <c r="J53" s="2">
        <f>'потребность в кормах'!G569</f>
        <v>11158</v>
      </c>
      <c r="K53" s="79">
        <f t="shared" si="2"/>
        <v>3.648666</v>
      </c>
      <c r="L53" s="2">
        <v>8</v>
      </c>
      <c r="M53" s="2">
        <f>'потребность в кормах'!H569</f>
        <v>836</v>
      </c>
      <c r="N53" s="79">
        <f t="shared" si="3"/>
        <v>6.688</v>
      </c>
      <c r="O53" s="2">
        <v>6</v>
      </c>
      <c r="P53" s="2">
        <f>'потребность в кормах'!I569</f>
        <v>1968</v>
      </c>
      <c r="Q53" s="79">
        <f t="shared" si="4"/>
        <v>11.808</v>
      </c>
      <c r="R53" s="2">
        <v>6</v>
      </c>
      <c r="S53" s="2">
        <f>'потребность в кормах'!J569</f>
        <v>0</v>
      </c>
      <c r="T53" s="79">
        <f t="shared" si="5"/>
        <v>0</v>
      </c>
      <c r="U53" s="2">
        <v>6</v>
      </c>
      <c r="V53" s="2">
        <f>'потребность в кормах'!K569</f>
        <v>2220</v>
      </c>
      <c r="W53" s="22">
        <f t="shared" si="6"/>
        <v>13.32</v>
      </c>
      <c r="X53" s="41">
        <f t="shared" si="7"/>
        <v>54.972390000000004</v>
      </c>
      <c r="Y53" s="21">
        <f>'потребность в кормах'!L569</f>
        <v>395220</v>
      </c>
      <c r="Z53" s="36">
        <v>0.0108</v>
      </c>
      <c r="AA53" s="39">
        <f t="shared" si="8"/>
        <v>4.268376</v>
      </c>
      <c r="AB53" s="42">
        <f>'потребность в кормах'!N569</f>
        <v>22545</v>
      </c>
      <c r="AC53" s="36">
        <v>0.5</v>
      </c>
      <c r="AD53" s="37">
        <f t="shared" si="9"/>
        <v>11.2725</v>
      </c>
    </row>
    <row r="54" spans="1:30" ht="12.75">
      <c r="A54" s="9"/>
      <c r="B54" s="2">
        <v>11</v>
      </c>
      <c r="C54" s="93">
        <v>0.122</v>
      </c>
      <c r="D54" s="2">
        <f>'потребность в кормах'!E586</f>
        <v>68670</v>
      </c>
      <c r="E54" s="79">
        <f t="shared" si="0"/>
        <v>8.37774</v>
      </c>
      <c r="F54" s="2">
        <v>0.178</v>
      </c>
      <c r="G54" s="2">
        <f>'потребность в кормах'!F586</f>
        <v>62528</v>
      </c>
      <c r="H54" s="79">
        <f t="shared" si="1"/>
        <v>11.129984</v>
      </c>
      <c r="I54" s="2">
        <v>0.327</v>
      </c>
      <c r="J54" s="2">
        <f>'потребность в кормах'!G586</f>
        <v>11158</v>
      </c>
      <c r="K54" s="79">
        <f t="shared" si="2"/>
        <v>3.648666</v>
      </c>
      <c r="L54" s="2">
        <v>8</v>
      </c>
      <c r="M54" s="2">
        <f>'потребность в кормах'!H586</f>
        <v>836</v>
      </c>
      <c r="N54" s="79">
        <f t="shared" si="3"/>
        <v>6.688</v>
      </c>
      <c r="O54" s="2">
        <v>6</v>
      </c>
      <c r="P54" s="2">
        <f>'потребность в кормах'!I586</f>
        <v>1968</v>
      </c>
      <c r="Q54" s="79">
        <f t="shared" si="4"/>
        <v>11.808</v>
      </c>
      <c r="R54" s="2">
        <v>6</v>
      </c>
      <c r="S54" s="2">
        <f>'потребность в кормах'!J586</f>
        <v>0</v>
      </c>
      <c r="T54" s="79">
        <f t="shared" si="5"/>
        <v>0</v>
      </c>
      <c r="U54" s="2">
        <v>6</v>
      </c>
      <c r="V54" s="2">
        <f>'потребность в кормах'!K586</f>
        <v>2220</v>
      </c>
      <c r="W54" s="22">
        <f t="shared" si="6"/>
        <v>13.32</v>
      </c>
      <c r="X54" s="41">
        <f t="shared" si="7"/>
        <v>54.972390000000004</v>
      </c>
      <c r="Y54" s="21">
        <f>'потребность в кормах'!L586</f>
        <v>395220</v>
      </c>
      <c r="Z54" s="36">
        <v>0.0108</v>
      </c>
      <c r="AA54" s="39">
        <f t="shared" si="8"/>
        <v>4.268376</v>
      </c>
      <c r="AB54" s="42">
        <f>'потребность в кормах'!N586</f>
        <v>22590</v>
      </c>
      <c r="AC54" s="36">
        <v>0.5</v>
      </c>
      <c r="AD54" s="37">
        <f t="shared" si="9"/>
        <v>11.295</v>
      </c>
    </row>
    <row r="55" spans="1:30" ht="12.75">
      <c r="A55" s="9"/>
      <c r="B55" s="2">
        <v>12</v>
      </c>
      <c r="C55" s="93">
        <v>0.122</v>
      </c>
      <c r="D55" s="2">
        <f>'потребность в кормах'!E603</f>
        <v>68640</v>
      </c>
      <c r="E55" s="79">
        <f t="shared" si="0"/>
        <v>8.37408</v>
      </c>
      <c r="F55" s="2">
        <v>0.178</v>
      </c>
      <c r="G55" s="2">
        <f>'потребность в кормах'!F603</f>
        <v>62508</v>
      </c>
      <c r="H55" s="79">
        <f t="shared" si="1"/>
        <v>11.126423999999998</v>
      </c>
      <c r="I55" s="2">
        <v>0.327</v>
      </c>
      <c r="J55" s="2">
        <f>'потребность в кормах'!G603</f>
        <v>11158</v>
      </c>
      <c r="K55" s="79">
        <f t="shared" si="2"/>
        <v>3.648666</v>
      </c>
      <c r="L55" s="2">
        <v>8</v>
      </c>
      <c r="M55" s="2">
        <f>'потребность в кормах'!H603</f>
        <v>836</v>
      </c>
      <c r="N55" s="79">
        <f t="shared" si="3"/>
        <v>6.688</v>
      </c>
      <c r="O55" s="2">
        <v>6</v>
      </c>
      <c r="P55" s="2">
        <f>'потребность в кормах'!I603</f>
        <v>1958</v>
      </c>
      <c r="Q55" s="79">
        <f t="shared" si="4"/>
        <v>11.748</v>
      </c>
      <c r="R55" s="2">
        <v>6</v>
      </c>
      <c r="S55" s="2">
        <f>'потребность в кормах'!J603</f>
        <v>0</v>
      </c>
      <c r="T55" s="79">
        <f t="shared" si="5"/>
        <v>0</v>
      </c>
      <c r="U55" s="2">
        <v>6</v>
      </c>
      <c r="V55" s="2">
        <f>'потребность в кормах'!K603</f>
        <v>2220</v>
      </c>
      <c r="W55" s="22">
        <f t="shared" si="6"/>
        <v>13.32</v>
      </c>
      <c r="X55" s="41">
        <f t="shared" si="7"/>
        <v>54.90517</v>
      </c>
      <c r="Y55" s="21">
        <f>'потребность в кормах'!L603</f>
        <v>394920</v>
      </c>
      <c r="Z55" s="36">
        <v>0.0108</v>
      </c>
      <c r="AA55" s="39">
        <f t="shared" si="8"/>
        <v>4.265136</v>
      </c>
      <c r="AB55" s="42">
        <f>'потребность в кормах'!N603</f>
        <v>22670</v>
      </c>
      <c r="AC55" s="36">
        <v>0.5</v>
      </c>
      <c r="AD55" s="37">
        <f t="shared" si="9"/>
        <v>11.335</v>
      </c>
    </row>
    <row r="56" spans="1:30" ht="12.75">
      <c r="A56" s="334" t="s">
        <v>125</v>
      </c>
      <c r="B56" s="336"/>
      <c r="C56" s="96">
        <v>0.122</v>
      </c>
      <c r="D56" s="9">
        <f>SUM(D44:D55)</f>
        <v>809088</v>
      </c>
      <c r="E56" s="84">
        <f t="shared" si="0"/>
        <v>98.708736</v>
      </c>
      <c r="F56" s="9">
        <v>0.178</v>
      </c>
      <c r="G56" s="9">
        <f>SUM(G44:G55)</f>
        <v>738616</v>
      </c>
      <c r="H56" s="84">
        <f t="shared" si="1"/>
        <v>131.473648</v>
      </c>
      <c r="I56" s="9">
        <v>0.327</v>
      </c>
      <c r="J56" s="9">
        <f>SUM(J44:J55)</f>
        <v>129042</v>
      </c>
      <c r="K56" s="84">
        <f t="shared" si="2"/>
        <v>42.196734000000006</v>
      </c>
      <c r="L56" s="9">
        <v>8</v>
      </c>
      <c r="M56" s="9">
        <f>SUM(M44:M55)</f>
        <v>9942</v>
      </c>
      <c r="N56" s="84">
        <f t="shared" si="3"/>
        <v>79.536</v>
      </c>
      <c r="O56" s="9">
        <v>6</v>
      </c>
      <c r="P56" s="9">
        <f>SUM(P44:P55)</f>
        <v>20678</v>
      </c>
      <c r="Q56" s="84">
        <f t="shared" si="4"/>
        <v>124.068</v>
      </c>
      <c r="R56" s="9">
        <v>6</v>
      </c>
      <c r="S56" s="9">
        <f>SUM(S44:S55)</f>
        <v>0</v>
      </c>
      <c r="T56" s="84">
        <f t="shared" si="5"/>
        <v>0</v>
      </c>
      <c r="U56" s="9">
        <v>6</v>
      </c>
      <c r="V56" s="9">
        <f>SUM(V44:V55)</f>
        <v>25110</v>
      </c>
      <c r="W56" s="62">
        <f t="shared" si="6"/>
        <v>150.66</v>
      </c>
      <c r="X56" s="63">
        <f t="shared" si="7"/>
        <v>626.6431180000001</v>
      </c>
      <c r="Y56" s="64">
        <f>SUM(Y44:Y55)</f>
        <v>4670940</v>
      </c>
      <c r="Z56" s="65">
        <v>0.0108</v>
      </c>
      <c r="AA56" s="66">
        <f t="shared" si="8"/>
        <v>50.446152000000005</v>
      </c>
      <c r="AB56" s="67">
        <f>SUM(AB44:AB55)</f>
        <v>263235</v>
      </c>
      <c r="AC56" s="65">
        <v>0.5</v>
      </c>
      <c r="AD56" s="89">
        <f t="shared" si="9"/>
        <v>131.6175</v>
      </c>
    </row>
    <row r="57" spans="1:30" ht="12.75">
      <c r="A57" s="68">
        <v>5</v>
      </c>
      <c r="B57" s="152">
        <v>1</v>
      </c>
      <c r="C57" s="93">
        <v>0.122</v>
      </c>
      <c r="D57" s="2">
        <f>'потребность в кормах'!E621</f>
        <v>69690</v>
      </c>
      <c r="E57" s="79">
        <f t="shared" si="0"/>
        <v>8.502180000000001</v>
      </c>
      <c r="F57" s="2">
        <v>0.178</v>
      </c>
      <c r="G57" s="2">
        <f>'потребность в кормах'!F621</f>
        <v>63368</v>
      </c>
      <c r="H57" s="79">
        <f t="shared" si="1"/>
        <v>11.279504</v>
      </c>
      <c r="I57" s="2">
        <v>0.327</v>
      </c>
      <c r="J57" s="2">
        <f>'потребность в кормах'!G621</f>
        <v>11398</v>
      </c>
      <c r="K57" s="79">
        <f t="shared" si="2"/>
        <v>3.7271460000000003</v>
      </c>
      <c r="L57" s="2">
        <v>8</v>
      </c>
      <c r="M57" s="2">
        <f>'потребность в кормах'!H621</f>
        <v>836</v>
      </c>
      <c r="N57" s="79">
        <f t="shared" si="3"/>
        <v>6.688</v>
      </c>
      <c r="O57" s="2">
        <v>6</v>
      </c>
      <c r="P57" s="2">
        <f>'потребность в кормах'!I621</f>
        <v>2172</v>
      </c>
      <c r="Q57" s="79">
        <f t="shared" si="4"/>
        <v>13.032</v>
      </c>
      <c r="R57" s="2">
        <v>6</v>
      </c>
      <c r="S57" s="2">
        <f>'потребность в кормах'!J621</f>
        <v>0</v>
      </c>
      <c r="T57" s="79">
        <f t="shared" si="5"/>
        <v>0</v>
      </c>
      <c r="U57" s="2">
        <v>6</v>
      </c>
      <c r="V57" s="2">
        <f>'потребность в кормах'!K621</f>
        <v>2220</v>
      </c>
      <c r="W57" s="22">
        <f t="shared" si="6"/>
        <v>13.32</v>
      </c>
      <c r="X57" s="41">
        <f t="shared" si="7"/>
        <v>56.54883</v>
      </c>
      <c r="Y57" s="21">
        <f>'потребность в кормах'!L621</f>
        <v>399420</v>
      </c>
      <c r="Z57" s="36">
        <v>0.0108</v>
      </c>
      <c r="AA57" s="39">
        <f t="shared" si="8"/>
        <v>4.313736</v>
      </c>
      <c r="AB57" s="42">
        <f>'потребность в кормах'!N621</f>
        <v>23005</v>
      </c>
      <c r="AC57" s="36">
        <v>0.5</v>
      </c>
      <c r="AD57" s="37">
        <f t="shared" si="9"/>
        <v>11.5025</v>
      </c>
    </row>
    <row r="58" spans="1:30" ht="13.5" thickBot="1">
      <c r="A58" s="338" t="s">
        <v>126</v>
      </c>
      <c r="B58" s="340"/>
      <c r="C58" s="97">
        <v>0.122</v>
      </c>
      <c r="D58" s="10">
        <f>D57*12</f>
        <v>836280</v>
      </c>
      <c r="E58" s="85">
        <f t="shared" si="0"/>
        <v>102.02616</v>
      </c>
      <c r="F58" s="10">
        <v>0.178</v>
      </c>
      <c r="G58" s="10">
        <f>G57*12</f>
        <v>760416</v>
      </c>
      <c r="H58" s="85">
        <f t="shared" si="1"/>
        <v>135.35404799999998</v>
      </c>
      <c r="I58" s="10">
        <v>0.327</v>
      </c>
      <c r="J58" s="10">
        <f>J57*12</f>
        <v>136776</v>
      </c>
      <c r="K58" s="85">
        <f t="shared" si="2"/>
        <v>44.725752</v>
      </c>
      <c r="L58" s="10">
        <v>8</v>
      </c>
      <c r="M58" s="10">
        <f>M57*12</f>
        <v>10032</v>
      </c>
      <c r="N58" s="85">
        <f t="shared" si="3"/>
        <v>80.256</v>
      </c>
      <c r="O58" s="10">
        <v>6</v>
      </c>
      <c r="P58" s="10">
        <f>P57*12</f>
        <v>26064</v>
      </c>
      <c r="Q58" s="85">
        <f t="shared" si="4"/>
        <v>156.384</v>
      </c>
      <c r="R58" s="10">
        <v>6</v>
      </c>
      <c r="S58" s="10">
        <f>S57*12</f>
        <v>0</v>
      </c>
      <c r="T58" s="85">
        <f t="shared" si="5"/>
        <v>0</v>
      </c>
      <c r="U58" s="10">
        <v>6</v>
      </c>
      <c r="V58" s="10">
        <f>V57*12</f>
        <v>26640</v>
      </c>
      <c r="W58" s="69">
        <f t="shared" si="6"/>
        <v>159.84</v>
      </c>
      <c r="X58" s="70">
        <f t="shared" si="7"/>
        <v>678.58596</v>
      </c>
      <c r="Y58" s="71">
        <f>Y57*12</f>
        <v>4793040</v>
      </c>
      <c r="Z58" s="72">
        <v>0.0108</v>
      </c>
      <c r="AA58" s="73">
        <f t="shared" si="8"/>
        <v>51.764832000000006</v>
      </c>
      <c r="AB58" s="74">
        <f>AB57*12</f>
        <v>276060</v>
      </c>
      <c r="AC58" s="72">
        <v>0.5</v>
      </c>
      <c r="AD58" s="90">
        <f t="shared" si="9"/>
        <v>138.03</v>
      </c>
    </row>
    <row r="59" spans="1:27" ht="13.5" thickBot="1">
      <c r="A59" s="75" t="s">
        <v>127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2"/>
      <c r="X59" s="76"/>
      <c r="Y59" s="21"/>
      <c r="Z59" s="2"/>
      <c r="AA59" s="35"/>
    </row>
  </sheetData>
  <sheetProtection/>
  <mergeCells count="19">
    <mergeCell ref="X2:X4"/>
    <mergeCell ref="Y2:AA2"/>
    <mergeCell ref="AB2:AD2"/>
    <mergeCell ref="C3:E3"/>
    <mergeCell ref="F3:H3"/>
    <mergeCell ref="I3:K3"/>
    <mergeCell ref="L3:N3"/>
    <mergeCell ref="O3:Q3"/>
    <mergeCell ref="R3:T3"/>
    <mergeCell ref="U3:W3"/>
    <mergeCell ref="A1:I1"/>
    <mergeCell ref="A2:A4"/>
    <mergeCell ref="B2:B4"/>
    <mergeCell ref="C2:W2"/>
    <mergeCell ref="A58:B58"/>
    <mergeCell ref="A17:B17"/>
    <mergeCell ref="A30:B30"/>
    <mergeCell ref="A43:B43"/>
    <mergeCell ref="A56:B56"/>
  </mergeCells>
  <printOptions/>
  <pageMargins left="0.4724409448818898" right="0.26" top="0.984251968503937" bottom="0.984251968503937" header="0.5118110236220472" footer="0.5118110236220472"/>
  <pageSetup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P127"/>
  <sheetViews>
    <sheetView view="pageBreakPreview" zoomScale="60" zoomScalePageLayoutView="0" workbookViewId="0" topLeftCell="A1">
      <selection activeCell="N53" sqref="N53"/>
    </sheetView>
  </sheetViews>
  <sheetFormatPr defaultColWidth="9.140625" defaultRowHeight="12.75"/>
  <cols>
    <col min="1" max="1" width="9.140625" style="128" customWidth="1"/>
    <col min="2" max="2" width="22.140625" style="127" bestFit="1" customWidth="1"/>
    <col min="3" max="3" width="15.57421875" style="127" customWidth="1"/>
    <col min="4" max="4" width="14.00390625" style="127" bestFit="1" customWidth="1"/>
    <col min="5" max="5" width="15.00390625" style="127" bestFit="1" customWidth="1"/>
    <col min="6" max="6" width="11.7109375" style="127" customWidth="1"/>
    <col min="7" max="7" width="12.140625" style="127" customWidth="1"/>
    <col min="8" max="8" width="8.57421875" style="127" customWidth="1"/>
    <col min="9" max="9" width="12.28125" style="127" bestFit="1" customWidth="1"/>
    <col min="10" max="10" width="10.28125" style="127" bestFit="1" customWidth="1"/>
    <col min="11" max="11" width="14.8515625" style="127" customWidth="1"/>
    <col min="12" max="13" width="10.28125" style="127" bestFit="1" customWidth="1"/>
    <col min="14" max="14" width="19.7109375" style="127" bestFit="1" customWidth="1"/>
    <col min="15" max="15" width="10.28125" style="127" bestFit="1" customWidth="1"/>
    <col min="16" max="16" width="9.140625" style="126" customWidth="1"/>
    <col min="17" max="16384" width="9.140625" style="125" customWidth="1"/>
  </cols>
  <sheetData>
    <row r="2" spans="1:2" ht="12.75">
      <c r="A2" s="392" t="s">
        <v>291</v>
      </c>
      <c r="B2" s="392"/>
    </row>
    <row r="3" ht="12.75">
      <c r="K3" s="129"/>
    </row>
    <row r="4" spans="1:11" ht="12.75">
      <c r="A4" s="396" t="s">
        <v>282</v>
      </c>
      <c r="B4" s="397"/>
      <c r="C4" s="397"/>
      <c r="D4" s="397"/>
      <c r="E4" s="397"/>
      <c r="F4" s="397"/>
      <c r="G4" s="397"/>
      <c r="H4" s="397"/>
      <c r="I4" s="397"/>
      <c r="J4" s="397"/>
      <c r="K4" s="398"/>
    </row>
    <row r="5" spans="1:16" s="253" customFormat="1" ht="12.75">
      <c r="A5" s="246"/>
      <c r="B5" s="244" t="s">
        <v>250</v>
      </c>
      <c r="C5" s="238"/>
      <c r="D5" s="238"/>
      <c r="E5" s="238"/>
      <c r="F5" s="238"/>
      <c r="G5" s="238"/>
      <c r="H5" s="238"/>
      <c r="I5" s="238"/>
      <c r="J5" s="238"/>
      <c r="K5" s="244" t="s">
        <v>251</v>
      </c>
      <c r="L5" s="238"/>
      <c r="M5" s="238"/>
      <c r="N5" s="238"/>
      <c r="O5" s="238"/>
      <c r="P5" s="256"/>
    </row>
    <row r="6" spans="1:16" s="253" customFormat="1" ht="12.75">
      <c r="A6" s="246"/>
      <c r="B6" s="244" t="s">
        <v>274</v>
      </c>
      <c r="C6" s="399" t="s">
        <v>273</v>
      </c>
      <c r="D6" s="400"/>
      <c r="E6" s="400"/>
      <c r="F6" s="400"/>
      <c r="G6" s="400"/>
      <c r="H6" s="400"/>
      <c r="I6" s="400"/>
      <c r="J6" s="401"/>
      <c r="K6" s="244" t="s">
        <v>252</v>
      </c>
      <c r="L6" s="238"/>
      <c r="M6" s="238"/>
      <c r="N6" s="238"/>
      <c r="O6" s="238"/>
      <c r="P6" s="256"/>
    </row>
    <row r="7" spans="1:16" s="253" customFormat="1" ht="12.75">
      <c r="A7" s="246"/>
      <c r="B7" s="244" t="s">
        <v>275</v>
      </c>
      <c r="C7" s="238"/>
      <c r="D7" s="238"/>
      <c r="E7" s="238"/>
      <c r="F7" s="238"/>
      <c r="G7" s="238"/>
      <c r="H7" s="238"/>
      <c r="I7" s="238"/>
      <c r="J7" s="238"/>
      <c r="K7" s="244" t="s">
        <v>253</v>
      </c>
      <c r="L7" s="238"/>
      <c r="M7" s="238"/>
      <c r="N7" s="238"/>
      <c r="O7" s="238"/>
      <c r="P7" s="256"/>
    </row>
    <row r="8" spans="1:12" s="260" customFormat="1" ht="12.75">
      <c r="A8" s="246"/>
      <c r="B8" s="257" t="s">
        <v>292</v>
      </c>
      <c r="C8" s="258">
        <v>1</v>
      </c>
      <c r="D8" s="258">
        <v>2</v>
      </c>
      <c r="E8" s="258">
        <v>3</v>
      </c>
      <c r="F8" s="258">
        <v>4</v>
      </c>
      <c r="G8" s="258">
        <v>5</v>
      </c>
      <c r="H8" s="258">
        <v>6</v>
      </c>
      <c r="I8" s="258">
        <v>7</v>
      </c>
      <c r="J8" s="258">
        <v>8</v>
      </c>
      <c r="K8" s="257" t="s">
        <v>254</v>
      </c>
      <c r="L8" s="259"/>
    </row>
    <row r="9" spans="1:13" s="263" customFormat="1" ht="12.75">
      <c r="A9" s="246" t="s">
        <v>154</v>
      </c>
      <c r="B9" s="244"/>
      <c r="C9" s="261"/>
      <c r="D9" s="261"/>
      <c r="E9" s="261"/>
      <c r="F9" s="261"/>
      <c r="G9" s="261"/>
      <c r="H9" s="261"/>
      <c r="I9" s="261"/>
      <c r="J9" s="261"/>
      <c r="K9" s="244" t="s">
        <v>255</v>
      </c>
      <c r="L9" s="261"/>
      <c r="M9" s="262"/>
    </row>
    <row r="10" spans="1:13" s="253" customFormat="1" ht="12.75">
      <c r="A10" s="248"/>
      <c r="B10" s="264"/>
      <c r="C10" s="238"/>
      <c r="D10" s="238"/>
      <c r="E10" s="238"/>
      <c r="F10" s="238"/>
      <c r="G10" s="238"/>
      <c r="H10" s="238"/>
      <c r="I10" s="238"/>
      <c r="J10" s="238"/>
      <c r="K10" s="264"/>
      <c r="L10" s="238"/>
      <c r="M10" s="256"/>
    </row>
    <row r="11" spans="1:13" s="253" customFormat="1" ht="12.75" customHeight="1">
      <c r="A11" s="265">
        <v>1</v>
      </c>
      <c r="B11" s="266">
        <f>окупаемость!B7</f>
        <v>20000</v>
      </c>
      <c r="C11" s="267">
        <f aca="true" t="shared" si="0" ref="C11:C22">$B$11*$D$34/12*A11</f>
        <v>100</v>
      </c>
      <c r="D11" s="241"/>
      <c r="E11" s="242"/>
      <c r="F11" s="242"/>
      <c r="G11" s="242"/>
      <c r="H11" s="241"/>
      <c r="I11" s="241"/>
      <c r="J11" s="241"/>
      <c r="K11" s="241">
        <f aca="true" t="shared" si="1" ref="K11:K22">SUM(C11:J11)</f>
        <v>100</v>
      </c>
      <c r="L11" s="238"/>
      <c r="M11" s="256"/>
    </row>
    <row r="12" spans="1:13" s="253" customFormat="1" ht="12.75">
      <c r="A12" s="268">
        <v>2</v>
      </c>
      <c r="B12" s="266">
        <f>окупаемость!C7+окупаемость!C11</f>
        <v>13751.81452</v>
      </c>
      <c r="C12" s="269">
        <f t="shared" si="0"/>
        <v>200</v>
      </c>
      <c r="D12" s="243">
        <f aca="true" t="shared" si="2" ref="D12:D22">$B$12*$D$34/12*A11</f>
        <v>68.7590726</v>
      </c>
      <c r="E12" s="244"/>
      <c r="F12" s="244"/>
      <c r="G12" s="244"/>
      <c r="H12" s="243"/>
      <c r="I12" s="243"/>
      <c r="J12" s="243"/>
      <c r="K12" s="243">
        <f t="shared" si="1"/>
        <v>268.75907259999997</v>
      </c>
      <c r="L12" s="238"/>
      <c r="M12" s="256"/>
    </row>
    <row r="13" spans="1:13" s="253" customFormat="1" ht="12.75">
      <c r="A13" s="268">
        <v>3</v>
      </c>
      <c r="B13" s="266">
        <f>окупаемость!D11</f>
        <v>42.81452</v>
      </c>
      <c r="C13" s="269">
        <f t="shared" si="0"/>
        <v>300</v>
      </c>
      <c r="D13" s="243">
        <f t="shared" si="2"/>
        <v>137.5181452</v>
      </c>
      <c r="E13" s="244">
        <f aca="true" t="shared" si="3" ref="E13:E22">$B$13*$D$34/12*A11</f>
        <v>0.21407259999999997</v>
      </c>
      <c r="F13" s="244"/>
      <c r="G13" s="244"/>
      <c r="H13" s="243"/>
      <c r="I13" s="243"/>
      <c r="J13" s="243"/>
      <c r="K13" s="243">
        <f t="shared" si="1"/>
        <v>437.7322178</v>
      </c>
      <c r="L13" s="238"/>
      <c r="M13" s="256"/>
    </row>
    <row r="14" spans="1:13" s="253" customFormat="1" ht="12.75">
      <c r="A14" s="268">
        <v>4</v>
      </c>
      <c r="B14" s="266">
        <f>окупаемость!E7+окупаемость!E11</f>
        <v>1773.94186</v>
      </c>
      <c r="C14" s="269">
        <f t="shared" si="0"/>
        <v>400</v>
      </c>
      <c r="D14" s="243">
        <f t="shared" si="2"/>
        <v>206.2772178</v>
      </c>
      <c r="E14" s="244">
        <f t="shared" si="3"/>
        <v>0.42814519999999995</v>
      </c>
      <c r="F14" s="244">
        <f aca="true" t="shared" si="4" ref="F14:F22">$B$14*$D$34/12*A11</f>
        <v>8.869709299999998</v>
      </c>
      <c r="G14" s="244"/>
      <c r="H14" s="243"/>
      <c r="I14" s="243"/>
      <c r="J14" s="243"/>
      <c r="K14" s="243">
        <f t="shared" si="1"/>
        <v>615.5750723</v>
      </c>
      <c r="L14" s="238"/>
      <c r="M14" s="256"/>
    </row>
    <row r="15" spans="1:13" s="253" customFormat="1" ht="12.75">
      <c r="A15" s="268">
        <v>5</v>
      </c>
      <c r="B15" s="266">
        <f>окупаемость!F11</f>
        <v>65.94186</v>
      </c>
      <c r="C15" s="269">
        <f t="shared" si="0"/>
        <v>500</v>
      </c>
      <c r="D15" s="243">
        <f t="shared" si="2"/>
        <v>275.0362904</v>
      </c>
      <c r="E15" s="244">
        <f t="shared" si="3"/>
        <v>0.6422178</v>
      </c>
      <c r="F15" s="244">
        <f t="shared" si="4"/>
        <v>17.739418599999997</v>
      </c>
      <c r="G15" s="244">
        <f aca="true" t="shared" si="5" ref="G15:G22">$B$15*$D$34/12*A11</f>
        <v>0.32970930000000004</v>
      </c>
      <c r="H15" s="243"/>
      <c r="I15" s="243"/>
      <c r="J15" s="243"/>
      <c r="K15" s="243">
        <f t="shared" si="1"/>
        <v>793.7476361</v>
      </c>
      <c r="L15" s="238"/>
      <c r="M15" s="256"/>
    </row>
    <row r="16" spans="1:13" s="253" customFormat="1" ht="12.75">
      <c r="A16" s="268">
        <v>6</v>
      </c>
      <c r="B16" s="266">
        <f>окупаемость!G7+окупаемость!G11</f>
        <v>1794.0692</v>
      </c>
      <c r="C16" s="269">
        <f t="shared" si="0"/>
        <v>600</v>
      </c>
      <c r="D16" s="243">
        <f t="shared" si="2"/>
        <v>343.79536299999995</v>
      </c>
      <c r="E16" s="244">
        <f t="shared" si="3"/>
        <v>0.8562903999999999</v>
      </c>
      <c r="F16" s="244">
        <f t="shared" si="4"/>
        <v>26.609127899999997</v>
      </c>
      <c r="G16" s="244">
        <f t="shared" si="5"/>
        <v>0.6594186000000001</v>
      </c>
      <c r="H16" s="243">
        <f aca="true" t="shared" si="6" ref="H16:H22">$B$16*$D$34/12*A11</f>
        <v>8.970346</v>
      </c>
      <c r="I16" s="243"/>
      <c r="J16" s="243"/>
      <c r="K16" s="243">
        <f t="shared" si="1"/>
        <v>980.8905458999999</v>
      </c>
      <c r="L16" s="238"/>
      <c r="M16" s="256"/>
    </row>
    <row r="17" spans="1:13" s="253" customFormat="1" ht="12.75">
      <c r="A17" s="268">
        <v>7</v>
      </c>
      <c r="B17" s="266">
        <f>окупаемость!H11</f>
        <v>81.46038</v>
      </c>
      <c r="C17" s="269">
        <f t="shared" si="0"/>
        <v>700</v>
      </c>
      <c r="D17" s="243">
        <f t="shared" si="2"/>
        <v>412.5544356</v>
      </c>
      <c r="E17" s="244">
        <f t="shared" si="3"/>
        <v>1.070363</v>
      </c>
      <c r="F17" s="244">
        <f t="shared" si="4"/>
        <v>35.478837199999994</v>
      </c>
      <c r="G17" s="244">
        <f t="shared" si="5"/>
        <v>0.9891279000000002</v>
      </c>
      <c r="H17" s="243">
        <f t="shared" si="6"/>
        <v>17.940692</v>
      </c>
      <c r="I17" s="243">
        <f aca="true" t="shared" si="7" ref="I17:I22">$B$17*$D$34/12*A11</f>
        <v>0.4073019</v>
      </c>
      <c r="J17" s="243"/>
      <c r="K17" s="243">
        <f t="shared" si="1"/>
        <v>1168.4407576</v>
      </c>
      <c r="L17" s="238"/>
      <c r="M17" s="256"/>
    </row>
    <row r="18" spans="1:13" s="253" customFormat="1" ht="12.75">
      <c r="A18" s="268">
        <v>8</v>
      </c>
      <c r="B18" s="266">
        <f>окупаемость!I11</f>
        <v>74.0532</v>
      </c>
      <c r="C18" s="269">
        <f t="shared" si="0"/>
        <v>800</v>
      </c>
      <c r="D18" s="243">
        <f t="shared" si="2"/>
        <v>481.3135082</v>
      </c>
      <c r="E18" s="244">
        <f t="shared" si="3"/>
        <v>1.2844356</v>
      </c>
      <c r="F18" s="244">
        <f t="shared" si="4"/>
        <v>44.34854649999999</v>
      </c>
      <c r="G18" s="244">
        <f t="shared" si="5"/>
        <v>1.3188372000000002</v>
      </c>
      <c r="H18" s="243">
        <f t="shared" si="6"/>
        <v>26.911037999999998</v>
      </c>
      <c r="I18" s="243">
        <f t="shared" si="7"/>
        <v>0.8146038</v>
      </c>
      <c r="J18" s="243">
        <f>$B$18*$D$34/12*A11</f>
        <v>0.370266</v>
      </c>
      <c r="K18" s="243">
        <f t="shared" si="1"/>
        <v>1356.3612352999996</v>
      </c>
      <c r="L18" s="238"/>
      <c r="M18" s="256"/>
    </row>
    <row r="19" spans="1:13" s="253" customFormat="1" ht="12.75">
      <c r="A19" s="268">
        <v>9</v>
      </c>
      <c r="B19" s="266"/>
      <c r="C19" s="269">
        <f t="shared" si="0"/>
        <v>900</v>
      </c>
      <c r="D19" s="243">
        <f t="shared" si="2"/>
        <v>550.0725808</v>
      </c>
      <c r="E19" s="244">
        <f t="shared" si="3"/>
        <v>1.4985081999999998</v>
      </c>
      <c r="F19" s="244">
        <f t="shared" si="4"/>
        <v>53.218255799999994</v>
      </c>
      <c r="G19" s="244">
        <f t="shared" si="5"/>
        <v>1.6485465000000001</v>
      </c>
      <c r="H19" s="243">
        <f t="shared" si="6"/>
        <v>35.881384</v>
      </c>
      <c r="I19" s="243">
        <f t="shared" si="7"/>
        <v>1.2219057</v>
      </c>
      <c r="J19" s="243">
        <f>$B$18*$D$34/12*A12</f>
        <v>0.740532</v>
      </c>
      <c r="K19" s="243">
        <f t="shared" si="1"/>
        <v>1544.281713</v>
      </c>
      <c r="L19" s="238"/>
      <c r="M19" s="256"/>
    </row>
    <row r="20" spans="1:13" s="253" customFormat="1" ht="12.75">
      <c r="A20" s="268">
        <v>10</v>
      </c>
      <c r="B20" s="266"/>
      <c r="C20" s="269">
        <f t="shared" si="0"/>
        <v>1000</v>
      </c>
      <c r="D20" s="243">
        <f t="shared" si="2"/>
        <v>618.8316533999999</v>
      </c>
      <c r="E20" s="244">
        <f t="shared" si="3"/>
        <v>1.7125807999999998</v>
      </c>
      <c r="F20" s="244">
        <f t="shared" si="4"/>
        <v>62.08796509999999</v>
      </c>
      <c r="G20" s="244">
        <f t="shared" si="5"/>
        <v>1.9782558000000003</v>
      </c>
      <c r="H20" s="243">
        <f t="shared" si="6"/>
        <v>44.851729999999996</v>
      </c>
      <c r="I20" s="243">
        <f t="shared" si="7"/>
        <v>1.6292076</v>
      </c>
      <c r="J20" s="243">
        <f>$B$18*$D$34/12*A13</f>
        <v>1.110798</v>
      </c>
      <c r="K20" s="243">
        <f t="shared" si="1"/>
        <v>1732.2021907</v>
      </c>
      <c r="L20" s="238"/>
      <c r="M20" s="256"/>
    </row>
    <row r="21" spans="1:13" s="253" customFormat="1" ht="12.75">
      <c r="A21" s="268">
        <v>11</v>
      </c>
      <c r="B21" s="270"/>
      <c r="C21" s="269">
        <f t="shared" si="0"/>
        <v>1100</v>
      </c>
      <c r="D21" s="243">
        <f t="shared" si="2"/>
        <v>687.5907259999999</v>
      </c>
      <c r="E21" s="244">
        <f t="shared" si="3"/>
        <v>1.9266533999999997</v>
      </c>
      <c r="F21" s="244">
        <f t="shared" si="4"/>
        <v>70.95767439999999</v>
      </c>
      <c r="G21" s="244">
        <f t="shared" si="5"/>
        <v>2.3079651</v>
      </c>
      <c r="H21" s="243">
        <f t="shared" si="6"/>
        <v>53.822075999999996</v>
      </c>
      <c r="I21" s="243">
        <f t="shared" si="7"/>
        <v>2.0365095</v>
      </c>
      <c r="J21" s="243">
        <f>$B$18*$D$34/12*A14</f>
        <v>1.481064</v>
      </c>
      <c r="K21" s="243">
        <f t="shared" si="1"/>
        <v>1920.1226684</v>
      </c>
      <c r="L21" s="238"/>
      <c r="M21" s="256"/>
    </row>
    <row r="22" spans="1:13" s="253" customFormat="1" ht="13.5" thickBot="1">
      <c r="A22" s="271">
        <v>12</v>
      </c>
      <c r="B22" s="272"/>
      <c r="C22" s="273">
        <f t="shared" si="0"/>
        <v>1200</v>
      </c>
      <c r="D22" s="264">
        <f t="shared" si="2"/>
        <v>756.3497986</v>
      </c>
      <c r="E22" s="249">
        <f t="shared" si="3"/>
        <v>2.140726</v>
      </c>
      <c r="F22" s="249">
        <f t="shared" si="4"/>
        <v>79.82738369999998</v>
      </c>
      <c r="G22" s="249">
        <f t="shared" si="5"/>
        <v>2.6376744000000003</v>
      </c>
      <c r="H22" s="264">
        <f t="shared" si="6"/>
        <v>62.792421999999995</v>
      </c>
      <c r="I22" s="264">
        <f t="shared" si="7"/>
        <v>2.4438114</v>
      </c>
      <c r="J22" s="264">
        <f>$B$18*$D$34/12*A15</f>
        <v>1.85133</v>
      </c>
      <c r="K22" s="264">
        <f t="shared" si="1"/>
        <v>2108.0431461</v>
      </c>
      <c r="L22" s="238"/>
      <c r="M22" s="256"/>
    </row>
    <row r="23" spans="1:16" s="253" customFormat="1" ht="12.75">
      <c r="A23" s="239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56"/>
    </row>
    <row r="24" spans="1:16" s="253" customFormat="1" ht="12.75">
      <c r="A24" s="239" t="s">
        <v>256</v>
      </c>
      <c r="B24" s="238">
        <f>SUM(B11:B22)</f>
        <v>37584.095539999995</v>
      </c>
      <c r="C24" s="253" t="s">
        <v>257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56"/>
    </row>
    <row r="25" spans="1:16" s="253" customFormat="1" ht="12.75">
      <c r="A25" s="239" t="s">
        <v>256</v>
      </c>
      <c r="B25" s="238">
        <f>K22</f>
        <v>2108.0431461</v>
      </c>
      <c r="C25" s="238" t="s">
        <v>258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56"/>
    </row>
    <row r="27" spans="1:11" ht="12.75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</row>
    <row r="28" spans="1:11" ht="12.75">
      <c r="A28" s="274"/>
      <c r="B28" s="275"/>
      <c r="C28" s="275"/>
      <c r="D28" s="275"/>
      <c r="E28" s="275"/>
      <c r="F28" s="275"/>
      <c r="G28" s="275"/>
      <c r="H28" s="275"/>
      <c r="I28" s="275"/>
      <c r="J28" s="275"/>
      <c r="K28" s="275"/>
    </row>
    <row r="29" spans="1:11" ht="12.75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</row>
    <row r="30" spans="1:11" ht="12.75">
      <c r="A30" s="393" t="s">
        <v>293</v>
      </c>
      <c r="B30" s="393"/>
      <c r="C30" s="275"/>
      <c r="D30" s="275"/>
      <c r="E30" s="275"/>
      <c r="F30" s="275"/>
      <c r="G30" s="275"/>
      <c r="H30" s="275"/>
      <c r="I30" s="275"/>
      <c r="J30" s="275"/>
      <c r="K30" s="275"/>
    </row>
    <row r="31" spans="1:11" ht="12.75">
      <c r="A31" s="395" t="s">
        <v>271</v>
      </c>
      <c r="B31" s="395"/>
      <c r="C31" s="395"/>
      <c r="D31" s="395"/>
      <c r="E31" s="395"/>
      <c r="F31" s="395"/>
      <c r="G31" s="395"/>
      <c r="H31" s="275"/>
      <c r="I31" s="275"/>
      <c r="J31" s="275"/>
      <c r="K31" s="275"/>
    </row>
    <row r="32" spans="1:11" ht="12.75">
      <c r="A32" s="300"/>
      <c r="B32" s="300"/>
      <c r="C32" s="300"/>
      <c r="D32" s="300"/>
      <c r="E32" s="300"/>
      <c r="F32" s="300"/>
      <c r="G32" s="275"/>
      <c r="H32" s="275"/>
      <c r="I32" s="275"/>
      <c r="J32" s="275"/>
      <c r="K32" s="275"/>
    </row>
    <row r="33" spans="1:11" ht="12.75">
      <c r="A33" s="301" t="s">
        <v>272</v>
      </c>
      <c r="B33" s="302"/>
      <c r="C33" s="302"/>
      <c r="D33" s="303">
        <v>72</v>
      </c>
      <c r="E33" s="304" t="s">
        <v>161</v>
      </c>
      <c r="F33" s="279"/>
      <c r="G33" s="275"/>
      <c r="H33" s="275"/>
      <c r="I33" s="275"/>
      <c r="J33" s="275"/>
      <c r="K33" s="275"/>
    </row>
    <row r="34" spans="1:11" ht="12.75">
      <c r="A34" s="301" t="s">
        <v>162</v>
      </c>
      <c r="B34" s="302"/>
      <c r="C34" s="302"/>
      <c r="D34" s="303">
        <v>0.06</v>
      </c>
      <c r="E34" s="304" t="s">
        <v>0</v>
      </c>
      <c r="F34" s="279"/>
      <c r="G34" s="275"/>
      <c r="H34" s="275"/>
      <c r="I34" s="275"/>
      <c r="J34" s="275"/>
      <c r="K34" s="275"/>
    </row>
    <row r="35" spans="1:11" ht="12.75">
      <c r="A35" s="298"/>
      <c r="B35" s="279"/>
      <c r="C35" s="279"/>
      <c r="D35" s="279"/>
      <c r="E35" s="279"/>
      <c r="F35" s="279"/>
      <c r="G35" s="275"/>
      <c r="H35" s="275"/>
      <c r="I35" s="275"/>
      <c r="J35" s="275"/>
      <c r="K35" s="275"/>
    </row>
    <row r="36" spans="1:11" ht="12.75">
      <c r="A36" s="394" t="s">
        <v>281</v>
      </c>
      <c r="B36" s="394"/>
      <c r="C36" s="394"/>
      <c r="D36" s="394"/>
      <c r="E36" s="394"/>
      <c r="F36" s="394"/>
      <c r="G36" s="305"/>
      <c r="H36" s="275"/>
      <c r="I36" s="275"/>
      <c r="J36" s="275"/>
      <c r="K36" s="275"/>
    </row>
    <row r="37" spans="1:11" ht="12.75">
      <c r="A37" s="394" t="s">
        <v>294</v>
      </c>
      <c r="B37" s="394"/>
      <c r="C37" s="394"/>
      <c r="D37" s="394"/>
      <c r="E37" s="394"/>
      <c r="F37" s="394"/>
      <c r="G37" s="305"/>
      <c r="H37" s="275"/>
      <c r="I37" s="275"/>
      <c r="J37" s="275"/>
      <c r="K37" s="275"/>
    </row>
    <row r="38" spans="1:11" ht="12.75">
      <c r="A38" s="394" t="s">
        <v>295</v>
      </c>
      <c r="B38" s="394"/>
      <c r="C38" s="394"/>
      <c r="D38" s="394"/>
      <c r="E38" s="394"/>
      <c r="F38" s="394"/>
      <c r="G38" s="305"/>
      <c r="H38" s="275"/>
      <c r="I38" s="275"/>
      <c r="J38" s="275"/>
      <c r="K38" s="275"/>
    </row>
    <row r="39" spans="1:11" ht="12.75">
      <c r="A39" s="279"/>
      <c r="B39" s="279"/>
      <c r="C39" s="279"/>
      <c r="D39" s="306"/>
      <c r="E39" s="279"/>
      <c r="F39" s="279"/>
      <c r="G39" s="275"/>
      <c r="H39" s="275"/>
      <c r="I39" s="275"/>
      <c r="J39" s="275"/>
      <c r="K39" s="275"/>
    </row>
    <row r="40" spans="1:11" ht="12.75">
      <c r="A40" s="288" t="s">
        <v>154</v>
      </c>
      <c r="B40" s="289" t="s">
        <v>267</v>
      </c>
      <c r="C40" s="289" t="s">
        <v>268</v>
      </c>
      <c r="D40" s="289" t="s">
        <v>261</v>
      </c>
      <c r="E40" s="289" t="s">
        <v>259</v>
      </c>
      <c r="F40" s="289" t="s">
        <v>259</v>
      </c>
      <c r="G40" s="307"/>
      <c r="H40" s="275"/>
      <c r="I40" s="275"/>
      <c r="J40" s="275"/>
      <c r="K40" s="275"/>
    </row>
    <row r="41" spans="1:11" ht="12.75">
      <c r="A41" s="292"/>
      <c r="B41" s="278" t="s">
        <v>264</v>
      </c>
      <c r="C41" s="308" t="s">
        <v>269</v>
      </c>
      <c r="D41" s="278" t="s">
        <v>262</v>
      </c>
      <c r="E41" s="278" t="s">
        <v>265</v>
      </c>
      <c r="F41" s="308" t="s">
        <v>260</v>
      </c>
      <c r="G41" s="307"/>
      <c r="H41" s="275"/>
      <c r="I41" s="275"/>
      <c r="J41" s="275"/>
      <c r="K41" s="275"/>
    </row>
    <row r="42" spans="1:11" ht="12.75">
      <c r="A42" s="292"/>
      <c r="B42" s="278"/>
      <c r="C42" s="278" t="s">
        <v>266</v>
      </c>
      <c r="D42" s="278" t="s">
        <v>263</v>
      </c>
      <c r="E42" s="278" t="s">
        <v>266</v>
      </c>
      <c r="F42" s="292"/>
      <c r="G42" s="307"/>
      <c r="H42" s="275"/>
      <c r="I42" s="275"/>
      <c r="J42" s="275"/>
      <c r="K42" s="275"/>
    </row>
    <row r="43" spans="1:11" ht="12.75">
      <c r="A43" s="277"/>
      <c r="B43" s="292"/>
      <c r="C43" s="308" t="s">
        <v>270</v>
      </c>
      <c r="D43" s="308" t="s">
        <v>264</v>
      </c>
      <c r="E43" s="278"/>
      <c r="F43" s="309"/>
      <c r="G43" s="307"/>
      <c r="H43" s="275"/>
      <c r="I43" s="275"/>
      <c r="J43" s="275"/>
      <c r="K43" s="275"/>
    </row>
    <row r="44" spans="1:15" s="131" customFormat="1" ht="12.75">
      <c r="A44" s="283"/>
      <c r="B44" s="297"/>
      <c r="C44" s="310"/>
      <c r="D44" s="310"/>
      <c r="E44" s="310"/>
      <c r="F44" s="310"/>
      <c r="G44" s="276"/>
      <c r="H44" s="276"/>
      <c r="I44" s="276"/>
      <c r="J44" s="276"/>
      <c r="K44" s="276"/>
      <c r="L44" s="129"/>
      <c r="M44" s="129"/>
      <c r="N44" s="129"/>
      <c r="O44" s="130"/>
    </row>
    <row r="45" spans="1:16" ht="12.75">
      <c r="A45" s="311">
        <v>1</v>
      </c>
      <c r="B45" s="312">
        <f>B24</f>
        <v>37584.095539999995</v>
      </c>
      <c r="C45" s="312">
        <f aca="true" t="shared" si="8" ref="C45:C76">B45*$D$34/12</f>
        <v>187.92047769999996</v>
      </c>
      <c r="D45" s="312">
        <f aca="true" t="shared" si="9" ref="D45:D76">$B$45/$D$33</f>
        <v>522.0013269444444</v>
      </c>
      <c r="E45" s="312">
        <f aca="true" t="shared" si="10" ref="E45:E76">C45+$B$25/$D$33</f>
        <v>217.1988547291666</v>
      </c>
      <c r="F45" s="312">
        <f>D45+E45</f>
        <v>739.200181673611</v>
      </c>
      <c r="G45" s="275"/>
      <c r="H45" s="275"/>
      <c r="I45" s="275"/>
      <c r="J45" s="275"/>
      <c r="K45" s="275"/>
      <c r="O45" s="126"/>
      <c r="P45" s="125"/>
    </row>
    <row r="46" spans="1:16" ht="12.75">
      <c r="A46" s="311">
        <f>A45+1</f>
        <v>2</v>
      </c>
      <c r="B46" s="312">
        <f aca="true" t="shared" si="11" ref="B46:B77">B45-D45</f>
        <v>37062.09421305555</v>
      </c>
      <c r="C46" s="312">
        <f t="shared" si="8"/>
        <v>185.31047106527774</v>
      </c>
      <c r="D46" s="312">
        <f t="shared" si="9"/>
        <v>522.0013269444444</v>
      </c>
      <c r="E46" s="312">
        <f t="shared" si="10"/>
        <v>214.58884809444442</v>
      </c>
      <c r="F46" s="312">
        <f>D46+E46</f>
        <v>736.5901750388888</v>
      </c>
      <c r="G46" s="275"/>
      <c r="H46" s="275"/>
      <c r="I46" s="275"/>
      <c r="J46" s="275"/>
      <c r="K46" s="275"/>
      <c r="O46" s="126"/>
      <c r="P46" s="125"/>
    </row>
    <row r="47" spans="1:16" ht="12.75">
      <c r="A47" s="311">
        <f aca="true" t="shared" si="12" ref="A47:A110">A46+1</f>
        <v>3</v>
      </c>
      <c r="B47" s="312">
        <f t="shared" si="11"/>
        <v>36540.0928861111</v>
      </c>
      <c r="C47" s="312">
        <f t="shared" si="8"/>
        <v>182.7004644305555</v>
      </c>
      <c r="D47" s="312">
        <f t="shared" si="9"/>
        <v>522.0013269444444</v>
      </c>
      <c r="E47" s="312">
        <f t="shared" si="10"/>
        <v>211.97884145972216</v>
      </c>
      <c r="F47" s="312">
        <f aca="true" t="shared" si="13" ref="F47:F110">D47+E47</f>
        <v>733.9801684041665</v>
      </c>
      <c r="G47" s="275"/>
      <c r="H47" s="275"/>
      <c r="I47" s="275"/>
      <c r="J47" s="275"/>
      <c r="K47" s="275"/>
      <c r="O47" s="126"/>
      <c r="P47" s="125"/>
    </row>
    <row r="48" spans="1:16" ht="12.75">
      <c r="A48" s="311">
        <f t="shared" si="12"/>
        <v>4</v>
      </c>
      <c r="B48" s="312">
        <f t="shared" si="11"/>
        <v>36018.091559166656</v>
      </c>
      <c r="C48" s="312">
        <f t="shared" si="8"/>
        <v>180.09045779583326</v>
      </c>
      <c r="D48" s="312">
        <f t="shared" si="9"/>
        <v>522.0013269444444</v>
      </c>
      <c r="E48" s="312">
        <f t="shared" si="10"/>
        <v>209.3688348249999</v>
      </c>
      <c r="F48" s="312">
        <f t="shared" si="13"/>
        <v>731.3701617694443</v>
      </c>
      <c r="G48" s="275"/>
      <c r="H48" s="275"/>
      <c r="I48" s="275"/>
      <c r="J48" s="275"/>
      <c r="K48" s="275"/>
      <c r="O48" s="126"/>
      <c r="P48" s="125"/>
    </row>
    <row r="49" spans="1:16" ht="12.75">
      <c r="A49" s="311">
        <f t="shared" si="12"/>
        <v>5</v>
      </c>
      <c r="B49" s="312">
        <f t="shared" si="11"/>
        <v>35496.09023222221</v>
      </c>
      <c r="C49" s="312">
        <f t="shared" si="8"/>
        <v>177.48045116111106</v>
      </c>
      <c r="D49" s="312">
        <f t="shared" si="9"/>
        <v>522.0013269444444</v>
      </c>
      <c r="E49" s="312">
        <f t="shared" si="10"/>
        <v>206.7588281902777</v>
      </c>
      <c r="F49" s="312">
        <f t="shared" si="13"/>
        <v>728.760155134722</v>
      </c>
      <c r="G49" s="275"/>
      <c r="H49" s="275"/>
      <c r="I49" s="275"/>
      <c r="J49" s="275"/>
      <c r="K49" s="275"/>
      <c r="O49" s="126"/>
      <c r="P49" s="125"/>
    </row>
    <row r="50" spans="1:16" ht="12.75">
      <c r="A50" s="311">
        <f t="shared" si="12"/>
        <v>6</v>
      </c>
      <c r="B50" s="312">
        <f t="shared" si="11"/>
        <v>34974.088905277764</v>
      </c>
      <c r="C50" s="312">
        <f t="shared" si="8"/>
        <v>174.8704445263888</v>
      </c>
      <c r="D50" s="312">
        <f t="shared" si="9"/>
        <v>522.0013269444444</v>
      </c>
      <c r="E50" s="312">
        <f t="shared" si="10"/>
        <v>204.14882155555546</v>
      </c>
      <c r="F50" s="312">
        <f t="shared" si="13"/>
        <v>726.1501484999999</v>
      </c>
      <c r="G50" s="275"/>
      <c r="H50" s="275"/>
      <c r="I50" s="275"/>
      <c r="J50" s="275"/>
      <c r="K50" s="275"/>
      <c r="O50" s="126"/>
      <c r="P50" s="125"/>
    </row>
    <row r="51" spans="1:16" ht="12.75">
      <c r="A51" s="311">
        <f t="shared" si="12"/>
        <v>7</v>
      </c>
      <c r="B51" s="312">
        <f t="shared" si="11"/>
        <v>34452.08757833332</v>
      </c>
      <c r="C51" s="312">
        <f t="shared" si="8"/>
        <v>172.26043789166658</v>
      </c>
      <c r="D51" s="312">
        <f t="shared" si="9"/>
        <v>522.0013269444444</v>
      </c>
      <c r="E51" s="312">
        <f t="shared" si="10"/>
        <v>201.53881492083326</v>
      </c>
      <c r="F51" s="312">
        <f t="shared" si="13"/>
        <v>723.5401418652776</v>
      </c>
      <c r="G51" s="275"/>
      <c r="H51" s="275"/>
      <c r="I51" s="275"/>
      <c r="J51" s="275"/>
      <c r="K51" s="275"/>
      <c r="O51" s="126"/>
      <c r="P51" s="125"/>
    </row>
    <row r="52" spans="1:16" ht="12.75">
      <c r="A52" s="311">
        <f t="shared" si="12"/>
        <v>8</v>
      </c>
      <c r="B52" s="312">
        <f t="shared" si="11"/>
        <v>33930.08625138887</v>
      </c>
      <c r="C52" s="312">
        <f t="shared" si="8"/>
        <v>169.65043125694436</v>
      </c>
      <c r="D52" s="312">
        <f t="shared" si="9"/>
        <v>522.0013269444444</v>
      </c>
      <c r="E52" s="312">
        <f t="shared" si="10"/>
        <v>198.928808286111</v>
      </c>
      <c r="F52" s="312">
        <f t="shared" si="13"/>
        <v>720.9301352305554</v>
      </c>
      <c r="G52" s="275"/>
      <c r="H52" s="275"/>
      <c r="I52" s="275"/>
      <c r="J52" s="275"/>
      <c r="K52" s="275"/>
      <c r="O52" s="126"/>
      <c r="P52" s="125"/>
    </row>
    <row r="53" spans="1:16" ht="12.75">
      <c r="A53" s="311">
        <f t="shared" si="12"/>
        <v>9</v>
      </c>
      <c r="B53" s="312">
        <f t="shared" si="11"/>
        <v>33408.084924444425</v>
      </c>
      <c r="C53" s="312">
        <f t="shared" si="8"/>
        <v>167.0404246222221</v>
      </c>
      <c r="D53" s="312">
        <f t="shared" si="9"/>
        <v>522.0013269444444</v>
      </c>
      <c r="E53" s="312">
        <f t="shared" si="10"/>
        <v>196.31880165138875</v>
      </c>
      <c r="F53" s="312">
        <f t="shared" si="13"/>
        <v>718.3201285958331</v>
      </c>
      <c r="G53" s="275"/>
      <c r="H53" s="275"/>
      <c r="I53" s="275"/>
      <c r="J53" s="275"/>
      <c r="K53" s="275"/>
      <c r="O53" s="126"/>
      <c r="P53" s="125"/>
    </row>
    <row r="54" spans="1:16" ht="12.75">
      <c r="A54" s="311">
        <f t="shared" si="12"/>
        <v>10</v>
      </c>
      <c r="B54" s="312">
        <f t="shared" si="11"/>
        <v>32886.08359749998</v>
      </c>
      <c r="C54" s="312">
        <f t="shared" si="8"/>
        <v>164.4304179874999</v>
      </c>
      <c r="D54" s="312">
        <f t="shared" si="9"/>
        <v>522.0013269444444</v>
      </c>
      <c r="E54" s="312">
        <f t="shared" si="10"/>
        <v>193.70879501666656</v>
      </c>
      <c r="F54" s="312">
        <f t="shared" si="13"/>
        <v>715.7101219611109</v>
      </c>
      <c r="G54" s="275"/>
      <c r="H54" s="275"/>
      <c r="I54" s="275"/>
      <c r="J54" s="275"/>
      <c r="K54" s="275"/>
      <c r="O54" s="126"/>
      <c r="P54" s="125"/>
    </row>
    <row r="55" spans="1:16" ht="12.75">
      <c r="A55" s="311">
        <f t="shared" si="12"/>
        <v>11</v>
      </c>
      <c r="B55" s="312">
        <f t="shared" si="11"/>
        <v>32364.082270555533</v>
      </c>
      <c r="C55" s="312">
        <f t="shared" si="8"/>
        <v>161.82041135277765</v>
      </c>
      <c r="D55" s="312">
        <f t="shared" si="9"/>
        <v>522.0013269444444</v>
      </c>
      <c r="E55" s="312">
        <f t="shared" si="10"/>
        <v>191.0987883819443</v>
      </c>
      <c r="F55" s="312">
        <f t="shared" si="13"/>
        <v>713.1001153263887</v>
      </c>
      <c r="G55" s="275"/>
      <c r="H55" s="275"/>
      <c r="I55" s="275"/>
      <c r="J55" s="275"/>
      <c r="K55" s="275"/>
      <c r="O55" s="126"/>
      <c r="P55" s="125"/>
    </row>
    <row r="56" spans="1:16" ht="12.75">
      <c r="A56" s="311">
        <f t="shared" si="12"/>
        <v>12</v>
      </c>
      <c r="B56" s="312">
        <f t="shared" si="11"/>
        <v>31842.080943611087</v>
      </c>
      <c r="C56" s="312">
        <f t="shared" si="8"/>
        <v>159.21040471805543</v>
      </c>
      <c r="D56" s="312">
        <f t="shared" si="9"/>
        <v>522.0013269444444</v>
      </c>
      <c r="E56" s="312">
        <f t="shared" si="10"/>
        <v>188.4887817472221</v>
      </c>
      <c r="F56" s="312">
        <f t="shared" si="13"/>
        <v>710.4901086916665</v>
      </c>
      <c r="G56" s="275"/>
      <c r="H56" s="275"/>
      <c r="I56" s="275"/>
      <c r="J56" s="275"/>
      <c r="K56" s="275"/>
      <c r="O56" s="126"/>
      <c r="P56" s="125"/>
    </row>
    <row r="57" spans="1:16" ht="12.75">
      <c r="A57" s="311">
        <f t="shared" si="12"/>
        <v>13</v>
      </c>
      <c r="B57" s="312">
        <f t="shared" si="11"/>
        <v>31320.07961666664</v>
      </c>
      <c r="C57" s="312">
        <f t="shared" si="8"/>
        <v>156.6003980833332</v>
      </c>
      <c r="D57" s="312">
        <f t="shared" si="9"/>
        <v>522.0013269444444</v>
      </c>
      <c r="E57" s="312">
        <f t="shared" si="10"/>
        <v>185.87877511249985</v>
      </c>
      <c r="F57" s="312">
        <f t="shared" si="13"/>
        <v>707.8801020569442</v>
      </c>
      <c r="G57" s="275"/>
      <c r="H57" s="275"/>
      <c r="I57" s="275"/>
      <c r="J57" s="275"/>
      <c r="K57" s="275"/>
      <c r="O57" s="126"/>
      <c r="P57" s="125"/>
    </row>
    <row r="58" spans="1:16" ht="12.75">
      <c r="A58" s="311">
        <f t="shared" si="12"/>
        <v>14</v>
      </c>
      <c r="B58" s="312">
        <f t="shared" si="11"/>
        <v>30798.078289722194</v>
      </c>
      <c r="C58" s="312">
        <f t="shared" si="8"/>
        <v>153.99039144861095</v>
      </c>
      <c r="D58" s="312">
        <f t="shared" si="9"/>
        <v>522.0013269444444</v>
      </c>
      <c r="E58" s="312">
        <f t="shared" si="10"/>
        <v>183.2687684777776</v>
      </c>
      <c r="F58" s="312">
        <f t="shared" si="13"/>
        <v>705.270095422222</v>
      </c>
      <c r="G58" s="275"/>
      <c r="H58" s="275"/>
      <c r="I58" s="275"/>
      <c r="J58" s="275"/>
      <c r="K58" s="275"/>
      <c r="O58" s="126"/>
      <c r="P58" s="125"/>
    </row>
    <row r="59" spans="1:16" ht="12.75">
      <c r="A59" s="311">
        <f t="shared" si="12"/>
        <v>15</v>
      </c>
      <c r="B59" s="312">
        <f t="shared" si="11"/>
        <v>30276.076962777748</v>
      </c>
      <c r="C59" s="312">
        <f t="shared" si="8"/>
        <v>151.38038481388875</v>
      </c>
      <c r="D59" s="312">
        <f t="shared" si="9"/>
        <v>522.0013269444444</v>
      </c>
      <c r="E59" s="312">
        <f t="shared" si="10"/>
        <v>180.6587618430554</v>
      </c>
      <c r="F59" s="312">
        <f t="shared" si="13"/>
        <v>702.6600887874997</v>
      </c>
      <c r="G59" s="275"/>
      <c r="H59" s="275"/>
      <c r="I59" s="275"/>
      <c r="J59" s="275"/>
      <c r="K59" s="275"/>
      <c r="O59" s="126"/>
      <c r="P59" s="125"/>
    </row>
    <row r="60" spans="1:16" ht="12.75">
      <c r="A60" s="311">
        <f t="shared" si="12"/>
        <v>16</v>
      </c>
      <c r="B60" s="312">
        <f t="shared" si="11"/>
        <v>29754.075635833302</v>
      </c>
      <c r="C60" s="312">
        <f t="shared" si="8"/>
        <v>148.7703781791665</v>
      </c>
      <c r="D60" s="312">
        <f t="shared" si="9"/>
        <v>522.0013269444444</v>
      </c>
      <c r="E60" s="312">
        <f t="shared" si="10"/>
        <v>178.04875520833315</v>
      </c>
      <c r="F60" s="312">
        <f t="shared" si="13"/>
        <v>700.0500821527776</v>
      </c>
      <c r="G60" s="275"/>
      <c r="H60" s="275"/>
      <c r="I60" s="275"/>
      <c r="J60" s="275"/>
      <c r="K60" s="275"/>
      <c r="O60" s="126"/>
      <c r="P60" s="125"/>
    </row>
    <row r="61" spans="1:16" ht="12.75">
      <c r="A61" s="311">
        <f t="shared" si="12"/>
        <v>17</v>
      </c>
      <c r="B61" s="312">
        <f t="shared" si="11"/>
        <v>29232.074308888856</v>
      </c>
      <c r="C61" s="312">
        <f t="shared" si="8"/>
        <v>146.16037154444427</v>
      </c>
      <c r="D61" s="312">
        <f t="shared" si="9"/>
        <v>522.0013269444444</v>
      </c>
      <c r="E61" s="312">
        <f t="shared" si="10"/>
        <v>175.43874857361095</v>
      </c>
      <c r="F61" s="312">
        <f t="shared" si="13"/>
        <v>697.4400755180553</v>
      </c>
      <c r="G61" s="275"/>
      <c r="H61" s="275"/>
      <c r="I61" s="275"/>
      <c r="J61" s="275"/>
      <c r="K61" s="275"/>
      <c r="O61" s="126"/>
      <c r="P61" s="125"/>
    </row>
    <row r="62" spans="1:16" ht="12.75">
      <c r="A62" s="311">
        <f t="shared" si="12"/>
        <v>18</v>
      </c>
      <c r="B62" s="312">
        <f t="shared" si="11"/>
        <v>28710.07298194441</v>
      </c>
      <c r="C62" s="312">
        <f t="shared" si="8"/>
        <v>143.55036490972205</v>
      </c>
      <c r="D62" s="312">
        <f t="shared" si="9"/>
        <v>522.0013269444444</v>
      </c>
      <c r="E62" s="312">
        <f t="shared" si="10"/>
        <v>172.8287419388887</v>
      </c>
      <c r="F62" s="312">
        <f t="shared" si="13"/>
        <v>694.8300688833331</v>
      </c>
      <c r="G62" s="275"/>
      <c r="H62" s="275"/>
      <c r="I62" s="275"/>
      <c r="J62" s="275"/>
      <c r="K62" s="275"/>
      <c r="O62" s="126"/>
      <c r="P62" s="125"/>
    </row>
    <row r="63" spans="1:16" ht="12.75">
      <c r="A63" s="311">
        <f t="shared" si="12"/>
        <v>19</v>
      </c>
      <c r="B63" s="312">
        <f t="shared" si="11"/>
        <v>28188.071654999963</v>
      </c>
      <c r="C63" s="312">
        <f t="shared" si="8"/>
        <v>140.9403582749998</v>
      </c>
      <c r="D63" s="312">
        <f t="shared" si="9"/>
        <v>522.0013269444444</v>
      </c>
      <c r="E63" s="312">
        <f t="shared" si="10"/>
        <v>170.21873530416644</v>
      </c>
      <c r="F63" s="312">
        <f t="shared" si="13"/>
        <v>692.2200622486108</v>
      </c>
      <c r="G63" s="275"/>
      <c r="H63" s="275"/>
      <c r="I63" s="275"/>
      <c r="J63" s="275"/>
      <c r="K63" s="275"/>
      <c r="O63" s="126"/>
      <c r="P63" s="125"/>
    </row>
    <row r="64" spans="1:16" ht="12.75">
      <c r="A64" s="311">
        <f t="shared" si="12"/>
        <v>20</v>
      </c>
      <c r="B64" s="312">
        <f t="shared" si="11"/>
        <v>27666.070328055517</v>
      </c>
      <c r="C64" s="312">
        <f t="shared" si="8"/>
        <v>138.3303516402776</v>
      </c>
      <c r="D64" s="312">
        <f t="shared" si="9"/>
        <v>522.0013269444444</v>
      </c>
      <c r="E64" s="312">
        <f t="shared" si="10"/>
        <v>167.60872866944425</v>
      </c>
      <c r="F64" s="312">
        <f t="shared" si="13"/>
        <v>689.6100556138886</v>
      </c>
      <c r="G64" s="275"/>
      <c r="H64" s="275"/>
      <c r="I64" s="275"/>
      <c r="J64" s="275"/>
      <c r="K64" s="275"/>
      <c r="O64" s="126"/>
      <c r="P64" s="125"/>
    </row>
    <row r="65" spans="1:16" ht="12.75">
      <c r="A65" s="311">
        <f t="shared" si="12"/>
        <v>21</v>
      </c>
      <c r="B65" s="312">
        <f t="shared" si="11"/>
        <v>27144.06900111107</v>
      </c>
      <c r="C65" s="312">
        <f t="shared" si="8"/>
        <v>135.72034500555534</v>
      </c>
      <c r="D65" s="312">
        <f t="shared" si="9"/>
        <v>522.0013269444444</v>
      </c>
      <c r="E65" s="312">
        <f t="shared" si="10"/>
        <v>164.998722034722</v>
      </c>
      <c r="F65" s="312">
        <f t="shared" si="13"/>
        <v>687.0000489791664</v>
      </c>
      <c r="G65" s="275"/>
      <c r="H65" s="275"/>
      <c r="I65" s="275"/>
      <c r="J65" s="275"/>
      <c r="K65" s="275"/>
      <c r="O65" s="126"/>
      <c r="P65" s="125"/>
    </row>
    <row r="66" spans="1:16" ht="12.75">
      <c r="A66" s="311">
        <f t="shared" si="12"/>
        <v>22</v>
      </c>
      <c r="B66" s="312">
        <f t="shared" si="11"/>
        <v>26622.067674166625</v>
      </c>
      <c r="C66" s="312">
        <f t="shared" si="8"/>
        <v>133.11033837083312</v>
      </c>
      <c r="D66" s="312">
        <f t="shared" si="9"/>
        <v>522.0013269444444</v>
      </c>
      <c r="E66" s="312">
        <f t="shared" si="10"/>
        <v>162.3887153999998</v>
      </c>
      <c r="F66" s="312">
        <f t="shared" si="13"/>
        <v>684.3900423444442</v>
      </c>
      <c r="G66" s="275"/>
      <c r="H66" s="275"/>
      <c r="I66" s="275"/>
      <c r="J66" s="275"/>
      <c r="K66" s="275"/>
      <c r="O66" s="126"/>
      <c r="P66" s="125"/>
    </row>
    <row r="67" spans="1:16" ht="12.75">
      <c r="A67" s="311">
        <f t="shared" si="12"/>
        <v>23</v>
      </c>
      <c r="B67" s="312">
        <f t="shared" si="11"/>
        <v>26100.06634722218</v>
      </c>
      <c r="C67" s="312">
        <f t="shared" si="8"/>
        <v>130.5003317361109</v>
      </c>
      <c r="D67" s="312">
        <f t="shared" si="9"/>
        <v>522.0013269444444</v>
      </c>
      <c r="E67" s="312">
        <f t="shared" si="10"/>
        <v>159.77870876527754</v>
      </c>
      <c r="F67" s="312">
        <f t="shared" si="13"/>
        <v>681.7800357097219</v>
      </c>
      <c r="G67" s="275"/>
      <c r="H67" s="275"/>
      <c r="I67" s="275"/>
      <c r="J67" s="275"/>
      <c r="K67" s="275"/>
      <c r="O67" s="126"/>
      <c r="P67" s="125"/>
    </row>
    <row r="68" spans="1:16" ht="12.75">
      <c r="A68" s="311">
        <f t="shared" si="12"/>
        <v>24</v>
      </c>
      <c r="B68" s="312">
        <f t="shared" si="11"/>
        <v>25578.065020277732</v>
      </c>
      <c r="C68" s="312">
        <f t="shared" si="8"/>
        <v>127.89032510138865</v>
      </c>
      <c r="D68" s="312">
        <f t="shared" si="9"/>
        <v>522.0013269444444</v>
      </c>
      <c r="E68" s="312">
        <f t="shared" si="10"/>
        <v>157.16870213055532</v>
      </c>
      <c r="F68" s="312">
        <f t="shared" si="13"/>
        <v>679.1700290749997</v>
      </c>
      <c r="G68" s="275"/>
      <c r="H68" s="275"/>
      <c r="I68" s="275"/>
      <c r="J68" s="275"/>
      <c r="K68" s="275"/>
      <c r="O68" s="126"/>
      <c r="P68" s="125"/>
    </row>
    <row r="69" spans="1:16" ht="12.75">
      <c r="A69" s="311">
        <f t="shared" si="12"/>
        <v>25</v>
      </c>
      <c r="B69" s="312">
        <f t="shared" si="11"/>
        <v>25056.063693333286</v>
      </c>
      <c r="C69" s="312">
        <f t="shared" si="8"/>
        <v>125.28031846666643</v>
      </c>
      <c r="D69" s="312">
        <f t="shared" si="9"/>
        <v>522.0013269444444</v>
      </c>
      <c r="E69" s="312">
        <f t="shared" si="10"/>
        <v>154.5586954958331</v>
      </c>
      <c r="F69" s="312">
        <f t="shared" si="13"/>
        <v>676.5600224402774</v>
      </c>
      <c r="G69" s="275"/>
      <c r="H69" s="275"/>
      <c r="I69" s="275"/>
      <c r="J69" s="275"/>
      <c r="K69" s="275"/>
      <c r="O69" s="126"/>
      <c r="P69" s="125"/>
    </row>
    <row r="70" spans="1:16" ht="12.75">
      <c r="A70" s="311">
        <f t="shared" si="12"/>
        <v>26</v>
      </c>
      <c r="B70" s="312">
        <f t="shared" si="11"/>
        <v>24534.06236638884</v>
      </c>
      <c r="C70" s="312">
        <f t="shared" si="8"/>
        <v>122.6703118319442</v>
      </c>
      <c r="D70" s="312">
        <f t="shared" si="9"/>
        <v>522.0013269444444</v>
      </c>
      <c r="E70" s="312">
        <f t="shared" si="10"/>
        <v>151.94868886111087</v>
      </c>
      <c r="F70" s="312">
        <f t="shared" si="13"/>
        <v>673.9500158055553</v>
      </c>
      <c r="G70" s="275"/>
      <c r="H70" s="275"/>
      <c r="I70" s="275"/>
      <c r="J70" s="275"/>
      <c r="K70" s="275"/>
      <c r="O70" s="126"/>
      <c r="P70" s="125"/>
    </row>
    <row r="71" spans="1:16" ht="12.75">
      <c r="A71" s="311">
        <f t="shared" si="12"/>
        <v>27</v>
      </c>
      <c r="B71" s="312">
        <f t="shared" si="11"/>
        <v>24012.061039444394</v>
      </c>
      <c r="C71" s="312">
        <f t="shared" si="8"/>
        <v>120.06030519722196</v>
      </c>
      <c r="D71" s="312">
        <f t="shared" si="9"/>
        <v>522.0013269444444</v>
      </c>
      <c r="E71" s="312">
        <f t="shared" si="10"/>
        <v>149.33868222638864</v>
      </c>
      <c r="F71" s="312">
        <f t="shared" si="13"/>
        <v>671.340009170833</v>
      </c>
      <c r="G71" s="275"/>
      <c r="H71" s="275"/>
      <c r="I71" s="275"/>
      <c r="J71" s="275"/>
      <c r="K71" s="275"/>
      <c r="O71" s="126"/>
      <c r="P71" s="125"/>
    </row>
    <row r="72" spans="1:16" ht="12.75">
      <c r="A72" s="311">
        <f t="shared" si="12"/>
        <v>28</v>
      </c>
      <c r="B72" s="312">
        <f t="shared" si="11"/>
        <v>23490.059712499948</v>
      </c>
      <c r="C72" s="312">
        <f t="shared" si="8"/>
        <v>117.45029856249973</v>
      </c>
      <c r="D72" s="312">
        <f t="shared" si="9"/>
        <v>522.0013269444444</v>
      </c>
      <c r="E72" s="312">
        <f t="shared" si="10"/>
        <v>146.7286755916664</v>
      </c>
      <c r="F72" s="312">
        <f t="shared" si="13"/>
        <v>668.7300025361108</v>
      </c>
      <c r="G72" s="275"/>
      <c r="H72" s="275"/>
      <c r="I72" s="275"/>
      <c r="J72" s="275"/>
      <c r="K72" s="275"/>
      <c r="O72" s="126"/>
      <c r="P72" s="125"/>
    </row>
    <row r="73" spans="1:16" ht="12.75">
      <c r="A73" s="311">
        <f t="shared" si="12"/>
        <v>29</v>
      </c>
      <c r="B73" s="312">
        <f t="shared" si="11"/>
        <v>22968.0583855555</v>
      </c>
      <c r="C73" s="312">
        <f t="shared" si="8"/>
        <v>114.8402919277775</v>
      </c>
      <c r="D73" s="312">
        <f t="shared" si="9"/>
        <v>522.0013269444444</v>
      </c>
      <c r="E73" s="312">
        <f t="shared" si="10"/>
        <v>144.11866895694416</v>
      </c>
      <c r="F73" s="312">
        <f t="shared" si="13"/>
        <v>666.1199959013885</v>
      </c>
      <c r="G73" s="275"/>
      <c r="H73" s="275"/>
      <c r="I73" s="275"/>
      <c r="J73" s="275"/>
      <c r="K73" s="275"/>
      <c r="O73" s="126"/>
      <c r="P73" s="125"/>
    </row>
    <row r="74" spans="1:16" ht="12.75">
      <c r="A74" s="311">
        <f t="shared" si="12"/>
        <v>30</v>
      </c>
      <c r="B74" s="312">
        <f t="shared" si="11"/>
        <v>22446.057058611055</v>
      </c>
      <c r="C74" s="312">
        <f t="shared" si="8"/>
        <v>112.23028529305527</v>
      </c>
      <c r="D74" s="312">
        <f t="shared" si="9"/>
        <v>522.0013269444444</v>
      </c>
      <c r="E74" s="312">
        <f t="shared" si="10"/>
        <v>141.50866232222194</v>
      </c>
      <c r="F74" s="312">
        <f t="shared" si="13"/>
        <v>663.5099892666663</v>
      </c>
      <c r="G74" s="275"/>
      <c r="H74" s="275"/>
      <c r="I74" s="275"/>
      <c r="J74" s="275"/>
      <c r="K74" s="275"/>
      <c r="O74" s="126"/>
      <c r="P74" s="125"/>
    </row>
    <row r="75" spans="1:16" ht="12.75">
      <c r="A75" s="311">
        <f t="shared" si="12"/>
        <v>31</v>
      </c>
      <c r="B75" s="312">
        <f t="shared" si="11"/>
        <v>21924.05573166661</v>
      </c>
      <c r="C75" s="312">
        <f t="shared" si="8"/>
        <v>109.62027865833305</v>
      </c>
      <c r="D75" s="312">
        <f t="shared" si="9"/>
        <v>522.0013269444444</v>
      </c>
      <c r="E75" s="312">
        <f t="shared" si="10"/>
        <v>138.8986556874997</v>
      </c>
      <c r="F75" s="312">
        <f t="shared" si="13"/>
        <v>660.8999826319441</v>
      </c>
      <c r="G75" s="275"/>
      <c r="H75" s="275"/>
      <c r="I75" s="275"/>
      <c r="J75" s="275"/>
      <c r="K75" s="275"/>
      <c r="O75" s="126"/>
      <c r="P75" s="125"/>
    </row>
    <row r="76" spans="1:16" ht="12.75">
      <c r="A76" s="311">
        <f t="shared" si="12"/>
        <v>32</v>
      </c>
      <c r="B76" s="312">
        <f t="shared" si="11"/>
        <v>21402.054404722163</v>
      </c>
      <c r="C76" s="312">
        <f t="shared" si="8"/>
        <v>107.01027202361081</v>
      </c>
      <c r="D76" s="312">
        <f t="shared" si="9"/>
        <v>522.0013269444444</v>
      </c>
      <c r="E76" s="312">
        <f t="shared" si="10"/>
        <v>136.2886490527775</v>
      </c>
      <c r="F76" s="312">
        <f t="shared" si="13"/>
        <v>658.2899759972219</v>
      </c>
      <c r="G76" s="275"/>
      <c r="H76" s="275"/>
      <c r="I76" s="275"/>
      <c r="J76" s="275"/>
      <c r="K76" s="275"/>
      <c r="O76" s="126"/>
      <c r="P76" s="125"/>
    </row>
    <row r="77" spans="1:16" ht="12.75">
      <c r="A77" s="311">
        <f t="shared" si="12"/>
        <v>33</v>
      </c>
      <c r="B77" s="312">
        <f t="shared" si="11"/>
        <v>20880.053077777717</v>
      </c>
      <c r="C77" s="312">
        <f aca="true" t="shared" si="14" ref="C77:C108">B77*$D$34/12</f>
        <v>104.40026538888857</v>
      </c>
      <c r="D77" s="312">
        <f aca="true" t="shared" si="15" ref="D77:D108">$B$45/$D$33</f>
        <v>522.0013269444444</v>
      </c>
      <c r="E77" s="312">
        <f aca="true" t="shared" si="16" ref="E77:E108">C77+$B$25/$D$33</f>
        <v>133.67864241805523</v>
      </c>
      <c r="F77" s="312">
        <f t="shared" si="13"/>
        <v>655.6799693624996</v>
      </c>
      <c r="G77" s="275"/>
      <c r="H77" s="275"/>
      <c r="I77" s="275"/>
      <c r="J77" s="275"/>
      <c r="K77" s="275"/>
      <c r="O77" s="126"/>
      <c r="P77" s="125"/>
    </row>
    <row r="78" spans="1:16" ht="12.75">
      <c r="A78" s="311">
        <f t="shared" si="12"/>
        <v>34</v>
      </c>
      <c r="B78" s="312">
        <f aca="true" t="shared" si="17" ref="B78:B109">B77-D77</f>
        <v>20358.05175083327</v>
      </c>
      <c r="C78" s="312">
        <f t="shared" si="14"/>
        <v>101.79025875416635</v>
      </c>
      <c r="D78" s="312">
        <f t="shared" si="15"/>
        <v>522.0013269444444</v>
      </c>
      <c r="E78" s="312">
        <f t="shared" si="16"/>
        <v>131.068635783333</v>
      </c>
      <c r="F78" s="312">
        <f t="shared" si="13"/>
        <v>653.0699627277774</v>
      </c>
      <c r="G78" s="275"/>
      <c r="H78" s="275"/>
      <c r="I78" s="275"/>
      <c r="J78" s="275"/>
      <c r="K78" s="275"/>
      <c r="O78" s="126"/>
      <c r="P78" s="125"/>
    </row>
    <row r="79" spans="1:16" ht="12.75">
      <c r="A79" s="311">
        <f t="shared" si="12"/>
        <v>35</v>
      </c>
      <c r="B79" s="312">
        <f t="shared" si="17"/>
        <v>19836.050423888824</v>
      </c>
      <c r="C79" s="312">
        <f t="shared" si="14"/>
        <v>99.18025211944412</v>
      </c>
      <c r="D79" s="312">
        <f t="shared" si="15"/>
        <v>522.0013269444444</v>
      </c>
      <c r="E79" s="312">
        <f t="shared" si="16"/>
        <v>128.45862914861078</v>
      </c>
      <c r="F79" s="312">
        <f t="shared" si="13"/>
        <v>650.4599560930551</v>
      </c>
      <c r="G79" s="275"/>
      <c r="H79" s="275"/>
      <c r="I79" s="275"/>
      <c r="J79" s="275"/>
      <c r="K79" s="275"/>
      <c r="O79" s="126"/>
      <c r="P79" s="125"/>
    </row>
    <row r="80" spans="1:16" ht="12.75">
      <c r="A80" s="311">
        <f t="shared" si="12"/>
        <v>36</v>
      </c>
      <c r="B80" s="312">
        <f t="shared" si="17"/>
        <v>19314.049096944378</v>
      </c>
      <c r="C80" s="312">
        <f t="shared" si="14"/>
        <v>96.5702454847219</v>
      </c>
      <c r="D80" s="312">
        <f t="shared" si="15"/>
        <v>522.0013269444444</v>
      </c>
      <c r="E80" s="312">
        <f t="shared" si="16"/>
        <v>125.84862251388856</v>
      </c>
      <c r="F80" s="312">
        <f t="shared" si="13"/>
        <v>647.849949458333</v>
      </c>
      <c r="G80" s="275"/>
      <c r="H80" s="275"/>
      <c r="I80" s="275"/>
      <c r="J80" s="275"/>
      <c r="K80" s="275"/>
      <c r="O80" s="126"/>
      <c r="P80" s="125"/>
    </row>
    <row r="81" spans="1:16" ht="12.75">
      <c r="A81" s="311">
        <f t="shared" si="12"/>
        <v>37</v>
      </c>
      <c r="B81" s="312">
        <f t="shared" si="17"/>
        <v>18792.047769999932</v>
      </c>
      <c r="C81" s="312">
        <f t="shared" si="14"/>
        <v>93.96023884999966</v>
      </c>
      <c r="D81" s="312">
        <f t="shared" si="15"/>
        <v>522.0013269444444</v>
      </c>
      <c r="E81" s="312">
        <f t="shared" si="16"/>
        <v>123.23861587916632</v>
      </c>
      <c r="F81" s="312">
        <f t="shared" si="13"/>
        <v>645.2399428236107</v>
      </c>
      <c r="G81" s="275"/>
      <c r="H81" s="275"/>
      <c r="I81" s="275"/>
      <c r="J81" s="275"/>
      <c r="K81" s="275"/>
      <c r="O81" s="126"/>
      <c r="P81" s="125"/>
    </row>
    <row r="82" spans="1:16" ht="12.75">
      <c r="A82" s="311">
        <f t="shared" si="12"/>
        <v>38</v>
      </c>
      <c r="B82" s="312">
        <f t="shared" si="17"/>
        <v>18270.046443055486</v>
      </c>
      <c r="C82" s="312">
        <f t="shared" si="14"/>
        <v>91.35023221527742</v>
      </c>
      <c r="D82" s="312">
        <f t="shared" si="15"/>
        <v>522.0013269444444</v>
      </c>
      <c r="E82" s="312">
        <f t="shared" si="16"/>
        <v>120.62860924444408</v>
      </c>
      <c r="F82" s="312">
        <f t="shared" si="13"/>
        <v>642.6299361888885</v>
      </c>
      <c r="G82" s="275"/>
      <c r="H82" s="275"/>
      <c r="I82" s="275"/>
      <c r="J82" s="275"/>
      <c r="K82" s="275"/>
      <c r="O82" s="126"/>
      <c r="P82" s="125"/>
    </row>
    <row r="83" spans="1:16" ht="12.75">
      <c r="A83" s="311">
        <f t="shared" si="12"/>
        <v>39</v>
      </c>
      <c r="B83" s="312">
        <f t="shared" si="17"/>
        <v>17748.04511611104</v>
      </c>
      <c r="C83" s="312">
        <f t="shared" si="14"/>
        <v>88.74022558055519</v>
      </c>
      <c r="D83" s="312">
        <f t="shared" si="15"/>
        <v>522.0013269444444</v>
      </c>
      <c r="E83" s="312">
        <f t="shared" si="16"/>
        <v>118.01860260972185</v>
      </c>
      <c r="F83" s="312">
        <f t="shared" si="13"/>
        <v>640.0199295541662</v>
      </c>
      <c r="G83" s="275"/>
      <c r="H83" s="275"/>
      <c r="I83" s="275"/>
      <c r="J83" s="275"/>
      <c r="K83" s="275"/>
      <c r="O83" s="126"/>
      <c r="P83" s="125"/>
    </row>
    <row r="84" spans="1:16" ht="12.75">
      <c r="A84" s="311">
        <f t="shared" si="12"/>
        <v>40</v>
      </c>
      <c r="B84" s="312">
        <f t="shared" si="17"/>
        <v>17226.043789166593</v>
      </c>
      <c r="C84" s="312">
        <f t="shared" si="14"/>
        <v>86.13021894583297</v>
      </c>
      <c r="D84" s="312">
        <f t="shared" si="15"/>
        <v>522.0013269444444</v>
      </c>
      <c r="E84" s="312">
        <f t="shared" si="16"/>
        <v>115.40859597499963</v>
      </c>
      <c r="F84" s="312">
        <f t="shared" si="13"/>
        <v>637.4099229194439</v>
      </c>
      <c r="G84" s="275"/>
      <c r="H84" s="275"/>
      <c r="I84" s="275"/>
      <c r="J84" s="275"/>
      <c r="K84" s="275"/>
      <c r="O84" s="126"/>
      <c r="P84" s="125"/>
    </row>
    <row r="85" spans="1:16" ht="12.75">
      <c r="A85" s="311">
        <f t="shared" si="12"/>
        <v>41</v>
      </c>
      <c r="B85" s="312">
        <f t="shared" si="17"/>
        <v>16704.042462222147</v>
      </c>
      <c r="C85" s="312">
        <f t="shared" si="14"/>
        <v>83.52021231111074</v>
      </c>
      <c r="D85" s="312">
        <f t="shared" si="15"/>
        <v>522.0013269444444</v>
      </c>
      <c r="E85" s="312">
        <f t="shared" si="16"/>
        <v>112.7985893402774</v>
      </c>
      <c r="F85" s="312">
        <f t="shared" si="13"/>
        <v>634.7999162847218</v>
      </c>
      <c r="G85" s="275"/>
      <c r="H85" s="275"/>
      <c r="I85" s="275"/>
      <c r="J85" s="275"/>
      <c r="K85" s="275"/>
      <c r="O85" s="126"/>
      <c r="P85" s="125"/>
    </row>
    <row r="86" spans="1:16" ht="12.75">
      <c r="A86" s="311">
        <f t="shared" si="12"/>
        <v>42</v>
      </c>
      <c r="B86" s="312">
        <f t="shared" si="17"/>
        <v>16182.041135277703</v>
      </c>
      <c r="C86" s="312">
        <f t="shared" si="14"/>
        <v>80.91020567638851</v>
      </c>
      <c r="D86" s="312">
        <f t="shared" si="15"/>
        <v>522.0013269444444</v>
      </c>
      <c r="E86" s="312">
        <f t="shared" si="16"/>
        <v>110.18858270555518</v>
      </c>
      <c r="F86" s="312">
        <f t="shared" si="13"/>
        <v>632.1899096499995</v>
      </c>
      <c r="G86" s="275"/>
      <c r="H86" s="275"/>
      <c r="I86" s="275"/>
      <c r="J86" s="275"/>
      <c r="K86" s="275"/>
      <c r="O86" s="126"/>
      <c r="P86" s="125"/>
    </row>
    <row r="87" spans="1:16" ht="12.75">
      <c r="A87" s="311">
        <f t="shared" si="12"/>
        <v>43</v>
      </c>
      <c r="B87" s="312">
        <f t="shared" si="17"/>
        <v>15660.039808333258</v>
      </c>
      <c r="C87" s="312">
        <f t="shared" si="14"/>
        <v>78.30019904166629</v>
      </c>
      <c r="D87" s="312">
        <f t="shared" si="15"/>
        <v>522.0013269444444</v>
      </c>
      <c r="E87" s="312">
        <f t="shared" si="16"/>
        <v>107.57857607083295</v>
      </c>
      <c r="F87" s="312">
        <f t="shared" si="13"/>
        <v>629.5799030152773</v>
      </c>
      <c r="G87" s="275"/>
      <c r="H87" s="275"/>
      <c r="I87" s="275"/>
      <c r="J87" s="275"/>
      <c r="K87" s="275"/>
      <c r="O87" s="126"/>
      <c r="P87" s="125"/>
    </row>
    <row r="88" spans="1:16" ht="12.75">
      <c r="A88" s="311">
        <f t="shared" si="12"/>
        <v>44</v>
      </c>
      <c r="B88" s="312">
        <f t="shared" si="17"/>
        <v>15138.038481388814</v>
      </c>
      <c r="C88" s="312">
        <f t="shared" si="14"/>
        <v>75.69019240694406</v>
      </c>
      <c r="D88" s="312">
        <f t="shared" si="15"/>
        <v>522.0013269444444</v>
      </c>
      <c r="E88" s="312">
        <f t="shared" si="16"/>
        <v>104.96856943611073</v>
      </c>
      <c r="F88" s="312">
        <f t="shared" si="13"/>
        <v>626.9698963805552</v>
      </c>
      <c r="G88" s="275"/>
      <c r="H88" s="275"/>
      <c r="I88" s="275"/>
      <c r="J88" s="275"/>
      <c r="K88" s="275"/>
      <c r="O88" s="126"/>
      <c r="P88" s="125"/>
    </row>
    <row r="89" spans="1:16" ht="12.75">
      <c r="A89" s="311">
        <f t="shared" si="12"/>
        <v>45</v>
      </c>
      <c r="B89" s="312">
        <f t="shared" si="17"/>
        <v>14616.03715444437</v>
      </c>
      <c r="C89" s="312">
        <f t="shared" si="14"/>
        <v>73.08018577222184</v>
      </c>
      <c r="D89" s="312">
        <f t="shared" si="15"/>
        <v>522.0013269444444</v>
      </c>
      <c r="E89" s="312">
        <f t="shared" si="16"/>
        <v>102.3585628013885</v>
      </c>
      <c r="F89" s="312">
        <f t="shared" si="13"/>
        <v>624.3598897458329</v>
      </c>
      <c r="G89" s="275"/>
      <c r="H89" s="275"/>
      <c r="I89" s="275"/>
      <c r="J89" s="275"/>
      <c r="K89" s="275"/>
      <c r="O89" s="126"/>
      <c r="P89" s="125"/>
    </row>
    <row r="90" spans="1:16" ht="12.75">
      <c r="A90" s="311">
        <f t="shared" si="12"/>
        <v>46</v>
      </c>
      <c r="B90" s="312">
        <f t="shared" si="17"/>
        <v>14094.035827499925</v>
      </c>
      <c r="C90" s="312">
        <f t="shared" si="14"/>
        <v>70.47017913749963</v>
      </c>
      <c r="D90" s="312">
        <f t="shared" si="15"/>
        <v>522.0013269444444</v>
      </c>
      <c r="E90" s="312">
        <f t="shared" si="16"/>
        <v>99.74855616666629</v>
      </c>
      <c r="F90" s="312">
        <f t="shared" si="13"/>
        <v>621.7498831111106</v>
      </c>
      <c r="G90" s="275"/>
      <c r="H90" s="275"/>
      <c r="I90" s="275"/>
      <c r="J90" s="275"/>
      <c r="K90" s="275"/>
      <c r="O90" s="126"/>
      <c r="P90" s="125"/>
    </row>
    <row r="91" spans="1:16" ht="12.75">
      <c r="A91" s="311">
        <f t="shared" si="12"/>
        <v>47</v>
      </c>
      <c r="B91" s="312">
        <f t="shared" si="17"/>
        <v>13572.034500555481</v>
      </c>
      <c r="C91" s="312">
        <f t="shared" si="14"/>
        <v>67.8601725027774</v>
      </c>
      <c r="D91" s="312">
        <f t="shared" si="15"/>
        <v>522.0013269444444</v>
      </c>
      <c r="E91" s="312">
        <f t="shared" si="16"/>
        <v>97.13854953194407</v>
      </c>
      <c r="F91" s="312">
        <f t="shared" si="13"/>
        <v>619.1398764763884</v>
      </c>
      <c r="G91" s="275"/>
      <c r="H91" s="275"/>
      <c r="I91" s="275"/>
      <c r="J91" s="275"/>
      <c r="K91" s="275"/>
      <c r="O91" s="126"/>
      <c r="P91" s="125"/>
    </row>
    <row r="92" spans="1:16" ht="12.75">
      <c r="A92" s="311">
        <f t="shared" si="12"/>
        <v>48</v>
      </c>
      <c r="B92" s="312">
        <f t="shared" si="17"/>
        <v>13050.033173611037</v>
      </c>
      <c r="C92" s="312">
        <f t="shared" si="14"/>
        <v>65.25016586805518</v>
      </c>
      <c r="D92" s="312">
        <f t="shared" si="15"/>
        <v>522.0013269444444</v>
      </c>
      <c r="E92" s="312">
        <f t="shared" si="16"/>
        <v>94.52854289722184</v>
      </c>
      <c r="F92" s="312">
        <f t="shared" si="13"/>
        <v>616.5298698416663</v>
      </c>
      <c r="G92" s="275"/>
      <c r="H92" s="275"/>
      <c r="I92" s="275"/>
      <c r="J92" s="275"/>
      <c r="K92" s="275"/>
      <c r="O92" s="126"/>
      <c r="P92" s="125"/>
    </row>
    <row r="93" spans="1:16" ht="12.75">
      <c r="A93" s="311">
        <f t="shared" si="12"/>
        <v>49</v>
      </c>
      <c r="B93" s="312">
        <f t="shared" si="17"/>
        <v>12528.031846666592</v>
      </c>
      <c r="C93" s="312">
        <f t="shared" si="14"/>
        <v>62.64015923333296</v>
      </c>
      <c r="D93" s="312">
        <f t="shared" si="15"/>
        <v>522.0013269444444</v>
      </c>
      <c r="E93" s="312">
        <f t="shared" si="16"/>
        <v>91.91853626249963</v>
      </c>
      <c r="F93" s="312">
        <f t="shared" si="13"/>
        <v>613.919863206944</v>
      </c>
      <c r="G93" s="275"/>
      <c r="H93" s="275"/>
      <c r="I93" s="275"/>
      <c r="J93" s="275"/>
      <c r="K93" s="275"/>
      <c r="O93" s="126"/>
      <c r="P93" s="125"/>
    </row>
    <row r="94" spans="1:16" ht="12.75">
      <c r="A94" s="311">
        <f t="shared" si="12"/>
        <v>50</v>
      </c>
      <c r="B94" s="312">
        <f t="shared" si="17"/>
        <v>12006.030519722148</v>
      </c>
      <c r="C94" s="312">
        <f t="shared" si="14"/>
        <v>60.030152598610734</v>
      </c>
      <c r="D94" s="312">
        <f t="shared" si="15"/>
        <v>522.0013269444444</v>
      </c>
      <c r="E94" s="312">
        <f t="shared" si="16"/>
        <v>89.3085296277774</v>
      </c>
      <c r="F94" s="312">
        <f t="shared" si="13"/>
        <v>611.3098565722217</v>
      </c>
      <c r="G94" s="275"/>
      <c r="H94" s="275"/>
      <c r="I94" s="275"/>
      <c r="J94" s="275"/>
      <c r="K94" s="275"/>
      <c r="O94" s="126"/>
      <c r="P94" s="125"/>
    </row>
    <row r="95" spans="1:16" ht="12.75">
      <c r="A95" s="311">
        <f t="shared" si="12"/>
        <v>51</v>
      </c>
      <c r="B95" s="312">
        <f t="shared" si="17"/>
        <v>11484.029192777703</v>
      </c>
      <c r="C95" s="312">
        <f t="shared" si="14"/>
        <v>57.42014596388851</v>
      </c>
      <c r="D95" s="312">
        <f t="shared" si="15"/>
        <v>522.0013269444444</v>
      </c>
      <c r="E95" s="312">
        <f t="shared" si="16"/>
        <v>86.69852299305518</v>
      </c>
      <c r="F95" s="312">
        <f t="shared" si="13"/>
        <v>608.6998499374995</v>
      </c>
      <c r="G95" s="275"/>
      <c r="H95" s="275"/>
      <c r="I95" s="275"/>
      <c r="J95" s="275"/>
      <c r="K95" s="275"/>
      <c r="O95" s="126"/>
      <c r="P95" s="125"/>
    </row>
    <row r="96" spans="1:16" ht="12.75">
      <c r="A96" s="311">
        <f t="shared" si="12"/>
        <v>52</v>
      </c>
      <c r="B96" s="312">
        <f t="shared" si="17"/>
        <v>10962.027865833259</v>
      </c>
      <c r="C96" s="312">
        <f t="shared" si="14"/>
        <v>54.8101393291663</v>
      </c>
      <c r="D96" s="312">
        <f t="shared" si="15"/>
        <v>522.0013269444444</v>
      </c>
      <c r="E96" s="312">
        <f t="shared" si="16"/>
        <v>84.08851635833295</v>
      </c>
      <c r="F96" s="312">
        <f t="shared" si="13"/>
        <v>606.0898433027774</v>
      </c>
      <c r="G96" s="275"/>
      <c r="H96" s="275"/>
      <c r="I96" s="275"/>
      <c r="J96" s="275"/>
      <c r="K96" s="275"/>
      <c r="O96" s="126"/>
      <c r="P96" s="125"/>
    </row>
    <row r="97" spans="1:16" ht="12.75">
      <c r="A97" s="311">
        <f t="shared" si="12"/>
        <v>53</v>
      </c>
      <c r="B97" s="312">
        <f t="shared" si="17"/>
        <v>10440.026538888815</v>
      </c>
      <c r="C97" s="312">
        <f t="shared" si="14"/>
        <v>52.20013269444407</v>
      </c>
      <c r="D97" s="312">
        <f t="shared" si="15"/>
        <v>522.0013269444444</v>
      </c>
      <c r="E97" s="312">
        <f t="shared" si="16"/>
        <v>81.47850972361073</v>
      </c>
      <c r="F97" s="312">
        <f t="shared" si="13"/>
        <v>603.4798366680551</v>
      </c>
      <c r="G97" s="275"/>
      <c r="H97" s="275"/>
      <c r="I97" s="275"/>
      <c r="J97" s="275"/>
      <c r="K97" s="275"/>
      <c r="O97" s="126"/>
      <c r="P97" s="125"/>
    </row>
    <row r="98" spans="1:16" ht="12.75">
      <c r="A98" s="311">
        <f t="shared" si="12"/>
        <v>54</v>
      </c>
      <c r="B98" s="312">
        <f t="shared" si="17"/>
        <v>9918.02521194437</v>
      </c>
      <c r="C98" s="312">
        <f t="shared" si="14"/>
        <v>49.590126059721854</v>
      </c>
      <c r="D98" s="312">
        <f t="shared" si="15"/>
        <v>522.0013269444444</v>
      </c>
      <c r="E98" s="312">
        <f t="shared" si="16"/>
        <v>78.86850308888852</v>
      </c>
      <c r="F98" s="312">
        <f t="shared" si="13"/>
        <v>600.8698300333328</v>
      </c>
      <c r="G98" s="275"/>
      <c r="H98" s="275"/>
      <c r="I98" s="275"/>
      <c r="J98" s="275"/>
      <c r="K98" s="275"/>
      <c r="O98" s="126"/>
      <c r="P98" s="125"/>
    </row>
    <row r="99" spans="1:16" ht="12.75">
      <c r="A99" s="311">
        <f t="shared" si="12"/>
        <v>55</v>
      </c>
      <c r="B99" s="312">
        <f t="shared" si="17"/>
        <v>9396.023884999926</v>
      </c>
      <c r="C99" s="312">
        <f t="shared" si="14"/>
        <v>46.98011942499963</v>
      </c>
      <c r="D99" s="312">
        <f t="shared" si="15"/>
        <v>522.0013269444444</v>
      </c>
      <c r="E99" s="312">
        <f t="shared" si="16"/>
        <v>76.25849645416629</v>
      </c>
      <c r="F99" s="312">
        <f t="shared" si="13"/>
        <v>598.2598233986107</v>
      </c>
      <c r="G99" s="275"/>
      <c r="H99" s="275"/>
      <c r="I99" s="275"/>
      <c r="J99" s="275"/>
      <c r="K99" s="275"/>
      <c r="O99" s="126"/>
      <c r="P99" s="125"/>
    </row>
    <row r="100" spans="1:16" ht="12.75">
      <c r="A100" s="311">
        <f t="shared" si="12"/>
        <v>56</v>
      </c>
      <c r="B100" s="312">
        <f t="shared" si="17"/>
        <v>8874.022558055482</v>
      </c>
      <c r="C100" s="312">
        <f t="shared" si="14"/>
        <v>44.3701127902774</v>
      </c>
      <c r="D100" s="312">
        <f t="shared" si="15"/>
        <v>522.0013269444444</v>
      </c>
      <c r="E100" s="312">
        <f t="shared" si="16"/>
        <v>73.64848981944407</v>
      </c>
      <c r="F100" s="312">
        <f t="shared" si="13"/>
        <v>595.6498167638885</v>
      </c>
      <c r="G100" s="275"/>
      <c r="H100" s="275"/>
      <c r="I100" s="275"/>
      <c r="J100" s="275"/>
      <c r="K100" s="275"/>
      <c r="O100" s="126"/>
      <c r="P100" s="125"/>
    </row>
    <row r="101" spans="1:16" ht="12.75">
      <c r="A101" s="311">
        <f t="shared" si="12"/>
        <v>57</v>
      </c>
      <c r="B101" s="312">
        <f t="shared" si="17"/>
        <v>8352.021231111037</v>
      </c>
      <c r="C101" s="312">
        <f t="shared" si="14"/>
        <v>41.760106155555185</v>
      </c>
      <c r="D101" s="312">
        <f t="shared" si="15"/>
        <v>522.0013269444444</v>
      </c>
      <c r="E101" s="312">
        <f t="shared" si="16"/>
        <v>71.03848318472185</v>
      </c>
      <c r="F101" s="312">
        <f t="shared" si="13"/>
        <v>593.0398101291662</v>
      </c>
      <c r="G101" s="275"/>
      <c r="H101" s="275"/>
      <c r="I101" s="275"/>
      <c r="J101" s="275"/>
      <c r="K101" s="275"/>
      <c r="O101" s="126"/>
      <c r="P101" s="125"/>
    </row>
    <row r="102" spans="1:16" ht="12.75">
      <c r="A102" s="311">
        <f t="shared" si="12"/>
        <v>58</v>
      </c>
      <c r="B102" s="312">
        <f t="shared" si="17"/>
        <v>7830.019904166593</v>
      </c>
      <c r="C102" s="312">
        <f t="shared" si="14"/>
        <v>39.15009952083296</v>
      </c>
      <c r="D102" s="312">
        <f t="shared" si="15"/>
        <v>522.0013269444444</v>
      </c>
      <c r="E102" s="312">
        <f t="shared" si="16"/>
        <v>68.42847654999963</v>
      </c>
      <c r="F102" s="312">
        <f t="shared" si="13"/>
        <v>590.4298034944441</v>
      </c>
      <c r="G102" s="275"/>
      <c r="H102" s="275"/>
      <c r="I102" s="275"/>
      <c r="J102" s="275"/>
      <c r="K102" s="275"/>
      <c r="O102" s="126"/>
      <c r="P102" s="125"/>
    </row>
    <row r="103" spans="1:16" ht="12.75">
      <c r="A103" s="311">
        <f t="shared" si="12"/>
        <v>59</v>
      </c>
      <c r="B103" s="312">
        <f t="shared" si="17"/>
        <v>7308.018577222148</v>
      </c>
      <c r="C103" s="312">
        <f t="shared" si="14"/>
        <v>36.54009288611074</v>
      </c>
      <c r="D103" s="312">
        <f t="shared" si="15"/>
        <v>522.0013269444444</v>
      </c>
      <c r="E103" s="312">
        <f t="shared" si="16"/>
        <v>65.8184699152774</v>
      </c>
      <c r="F103" s="312">
        <f t="shared" si="13"/>
        <v>587.8197968597218</v>
      </c>
      <c r="G103" s="275"/>
      <c r="H103" s="275"/>
      <c r="I103" s="275"/>
      <c r="J103" s="275"/>
      <c r="K103" s="275"/>
      <c r="O103" s="126"/>
      <c r="P103" s="125"/>
    </row>
    <row r="104" spans="1:16" ht="12.75">
      <c r="A104" s="311">
        <f t="shared" si="12"/>
        <v>60</v>
      </c>
      <c r="B104" s="312">
        <f t="shared" si="17"/>
        <v>6786.017250277704</v>
      </c>
      <c r="C104" s="312">
        <f t="shared" si="14"/>
        <v>33.93008625138852</v>
      </c>
      <c r="D104" s="312">
        <f t="shared" si="15"/>
        <v>522.0013269444444</v>
      </c>
      <c r="E104" s="312">
        <f t="shared" si="16"/>
        <v>63.208463280555186</v>
      </c>
      <c r="F104" s="312">
        <f t="shared" si="13"/>
        <v>585.2097902249996</v>
      </c>
      <c r="G104" s="275"/>
      <c r="H104" s="275"/>
      <c r="I104" s="275"/>
      <c r="J104" s="275"/>
      <c r="K104" s="275"/>
      <c r="O104" s="126"/>
      <c r="P104" s="125"/>
    </row>
    <row r="105" spans="1:16" ht="12.75">
      <c r="A105" s="311">
        <f t="shared" si="12"/>
        <v>61</v>
      </c>
      <c r="B105" s="312">
        <f t="shared" si="17"/>
        <v>6264.01592333326</v>
      </c>
      <c r="C105" s="312">
        <f t="shared" si="14"/>
        <v>31.320079616666295</v>
      </c>
      <c r="D105" s="312">
        <f t="shared" si="15"/>
        <v>522.0013269444444</v>
      </c>
      <c r="E105" s="312">
        <f t="shared" si="16"/>
        <v>60.598456645832954</v>
      </c>
      <c r="F105" s="312">
        <f t="shared" si="13"/>
        <v>582.5997835902773</v>
      </c>
      <c r="G105" s="275"/>
      <c r="H105" s="275"/>
      <c r="I105" s="275"/>
      <c r="J105" s="275"/>
      <c r="K105" s="275"/>
      <c r="O105" s="126"/>
      <c r="P105" s="125"/>
    </row>
    <row r="106" spans="1:16" ht="12.75">
      <c r="A106" s="311">
        <f t="shared" si="12"/>
        <v>62</v>
      </c>
      <c r="B106" s="312">
        <f t="shared" si="17"/>
        <v>5742.014596388815</v>
      </c>
      <c r="C106" s="312">
        <f t="shared" si="14"/>
        <v>28.710072981944077</v>
      </c>
      <c r="D106" s="312">
        <f t="shared" si="15"/>
        <v>522.0013269444444</v>
      </c>
      <c r="E106" s="312">
        <f t="shared" si="16"/>
        <v>57.98845001111074</v>
      </c>
      <c r="F106" s="312">
        <f t="shared" si="13"/>
        <v>579.9897769555552</v>
      </c>
      <c r="G106" s="275"/>
      <c r="H106" s="275"/>
      <c r="I106" s="275"/>
      <c r="J106" s="275"/>
      <c r="K106" s="275"/>
      <c r="O106" s="126"/>
      <c r="P106" s="125"/>
    </row>
    <row r="107" spans="1:16" ht="12.75">
      <c r="A107" s="311">
        <f t="shared" si="12"/>
        <v>63</v>
      </c>
      <c r="B107" s="312">
        <f t="shared" si="17"/>
        <v>5220.013269444371</v>
      </c>
      <c r="C107" s="312">
        <f t="shared" si="14"/>
        <v>26.100066347221855</v>
      </c>
      <c r="D107" s="312">
        <f t="shared" si="15"/>
        <v>522.0013269444444</v>
      </c>
      <c r="E107" s="312">
        <f t="shared" si="16"/>
        <v>55.37844337638852</v>
      </c>
      <c r="F107" s="312">
        <f t="shared" si="13"/>
        <v>577.3797703208329</v>
      </c>
      <c r="G107" s="275"/>
      <c r="H107" s="275"/>
      <c r="I107" s="275"/>
      <c r="J107" s="275"/>
      <c r="K107" s="275"/>
      <c r="O107" s="126"/>
      <c r="P107" s="125"/>
    </row>
    <row r="108" spans="1:16" ht="12.75">
      <c r="A108" s="311">
        <f t="shared" si="12"/>
        <v>64</v>
      </c>
      <c r="B108" s="312">
        <f t="shared" si="17"/>
        <v>4698.011942499927</v>
      </c>
      <c r="C108" s="312">
        <f t="shared" si="14"/>
        <v>23.490059712499633</v>
      </c>
      <c r="D108" s="312">
        <f t="shared" si="15"/>
        <v>522.0013269444444</v>
      </c>
      <c r="E108" s="312">
        <f t="shared" si="16"/>
        <v>52.76843674166629</v>
      </c>
      <c r="F108" s="312">
        <f t="shared" si="13"/>
        <v>574.7697636861107</v>
      </c>
      <c r="G108" s="275"/>
      <c r="H108" s="275"/>
      <c r="I108" s="275"/>
      <c r="J108" s="275"/>
      <c r="K108" s="275"/>
      <c r="O108" s="126"/>
      <c r="P108" s="125"/>
    </row>
    <row r="109" spans="1:16" ht="12.75">
      <c r="A109" s="311">
        <f t="shared" si="12"/>
        <v>65</v>
      </c>
      <c r="B109" s="312">
        <f t="shared" si="17"/>
        <v>4176.010615555482</v>
      </c>
      <c r="C109" s="312">
        <f aca="true" t="shared" si="18" ref="C109:C116">B109*$D$34/12</f>
        <v>20.88005307777741</v>
      </c>
      <c r="D109" s="312">
        <f aca="true" t="shared" si="19" ref="D109:D116">$B$45/$D$33</f>
        <v>522.0013269444444</v>
      </c>
      <c r="E109" s="312">
        <f aca="true" t="shared" si="20" ref="E109:E116">C109+$B$25/$D$33</f>
        <v>50.158430106944074</v>
      </c>
      <c r="F109" s="312">
        <f t="shared" si="13"/>
        <v>572.1597570513884</v>
      </c>
      <c r="G109" s="275"/>
      <c r="H109" s="275"/>
      <c r="I109" s="275"/>
      <c r="J109" s="275"/>
      <c r="K109" s="275"/>
      <c r="O109" s="126"/>
      <c r="P109" s="125"/>
    </row>
    <row r="110" spans="1:16" ht="12.75">
      <c r="A110" s="311">
        <f t="shared" si="12"/>
        <v>66</v>
      </c>
      <c r="B110" s="312">
        <f aca="true" t="shared" si="21" ref="B110:B116">B109-D109</f>
        <v>3654.009288611038</v>
      </c>
      <c r="C110" s="312">
        <f t="shared" si="18"/>
        <v>18.27004644305519</v>
      </c>
      <c r="D110" s="312">
        <f t="shared" si="19"/>
        <v>522.0013269444444</v>
      </c>
      <c r="E110" s="312">
        <f t="shared" si="20"/>
        <v>47.548423472221856</v>
      </c>
      <c r="F110" s="312">
        <f t="shared" si="13"/>
        <v>569.5497504166663</v>
      </c>
      <c r="G110" s="275"/>
      <c r="H110" s="275"/>
      <c r="I110" s="275"/>
      <c r="J110" s="275"/>
      <c r="K110" s="275"/>
      <c r="O110" s="126"/>
      <c r="P110" s="125"/>
    </row>
    <row r="111" spans="1:16" ht="12.75">
      <c r="A111" s="311">
        <f aca="true" t="shared" si="22" ref="A111:A116">A110+1</f>
        <v>67</v>
      </c>
      <c r="B111" s="312">
        <f t="shared" si="21"/>
        <v>3132.0079616665935</v>
      </c>
      <c r="C111" s="312">
        <f t="shared" si="18"/>
        <v>15.660039808332968</v>
      </c>
      <c r="D111" s="312">
        <f t="shared" si="19"/>
        <v>522.0013269444444</v>
      </c>
      <c r="E111" s="312">
        <f t="shared" si="20"/>
        <v>44.93841683749963</v>
      </c>
      <c r="F111" s="312">
        <f aca="true" t="shared" si="23" ref="F111:F116">D111+E111</f>
        <v>566.939743781944</v>
      </c>
      <c r="G111" s="275"/>
      <c r="H111" s="275"/>
      <c r="I111" s="275"/>
      <c r="J111" s="275"/>
      <c r="K111" s="275"/>
      <c r="O111" s="126"/>
      <c r="P111" s="125"/>
    </row>
    <row r="112" spans="1:16" ht="12.75">
      <c r="A112" s="311">
        <f t="shared" si="22"/>
        <v>68</v>
      </c>
      <c r="B112" s="312">
        <f t="shared" si="21"/>
        <v>2610.006634722149</v>
      </c>
      <c r="C112" s="312">
        <f t="shared" si="18"/>
        <v>13.050033173610744</v>
      </c>
      <c r="D112" s="312">
        <f t="shared" si="19"/>
        <v>522.0013269444444</v>
      </c>
      <c r="E112" s="312">
        <f t="shared" si="20"/>
        <v>42.328410202777405</v>
      </c>
      <c r="F112" s="312">
        <f t="shared" si="23"/>
        <v>564.3297371472217</v>
      </c>
      <c r="G112" s="275"/>
      <c r="H112" s="275"/>
      <c r="I112" s="275"/>
      <c r="J112" s="275"/>
      <c r="K112" s="275"/>
      <c r="O112" s="126"/>
      <c r="P112" s="125"/>
    </row>
    <row r="113" spans="1:16" ht="12.75">
      <c r="A113" s="311">
        <f t="shared" si="22"/>
        <v>69</v>
      </c>
      <c r="B113" s="312">
        <f t="shared" si="21"/>
        <v>2088.0053077777047</v>
      </c>
      <c r="C113" s="312">
        <f t="shared" si="18"/>
        <v>10.440026538888523</v>
      </c>
      <c r="D113" s="312">
        <f t="shared" si="19"/>
        <v>522.0013269444444</v>
      </c>
      <c r="E113" s="312">
        <f t="shared" si="20"/>
        <v>39.71840356805519</v>
      </c>
      <c r="F113" s="312">
        <f t="shared" si="23"/>
        <v>561.7197305124996</v>
      </c>
      <c r="G113" s="275"/>
      <c r="H113" s="275"/>
      <c r="I113" s="275"/>
      <c r="J113" s="275"/>
      <c r="K113" s="275"/>
      <c r="O113" s="126"/>
      <c r="P113" s="125"/>
    </row>
    <row r="114" spans="1:16" ht="12.75">
      <c r="A114" s="311">
        <f t="shared" si="22"/>
        <v>70</v>
      </c>
      <c r="B114" s="312">
        <f t="shared" si="21"/>
        <v>1566.0039808332604</v>
      </c>
      <c r="C114" s="312">
        <f t="shared" si="18"/>
        <v>7.830019904166302</v>
      </c>
      <c r="D114" s="312">
        <f t="shared" si="19"/>
        <v>522.0013269444444</v>
      </c>
      <c r="E114" s="312">
        <f t="shared" si="20"/>
        <v>37.10839693333296</v>
      </c>
      <c r="F114" s="312">
        <f t="shared" si="23"/>
        <v>559.1097238777774</v>
      </c>
      <c r="G114" s="275"/>
      <c r="H114" s="275"/>
      <c r="I114" s="275"/>
      <c r="J114" s="275"/>
      <c r="K114" s="275"/>
      <c r="O114" s="126"/>
      <c r="P114" s="125"/>
    </row>
    <row r="115" spans="1:16" ht="12.75">
      <c r="A115" s="311">
        <f t="shared" si="22"/>
        <v>71</v>
      </c>
      <c r="B115" s="312">
        <f t="shared" si="21"/>
        <v>1044.002653888816</v>
      </c>
      <c r="C115" s="312">
        <f t="shared" si="18"/>
        <v>5.22001326944408</v>
      </c>
      <c r="D115" s="312">
        <f t="shared" si="19"/>
        <v>522.0013269444444</v>
      </c>
      <c r="E115" s="312">
        <f t="shared" si="20"/>
        <v>34.498390298610744</v>
      </c>
      <c r="F115" s="312">
        <f t="shared" si="23"/>
        <v>556.4997172430551</v>
      </c>
      <c r="G115" s="275"/>
      <c r="H115" s="275"/>
      <c r="I115" s="275"/>
      <c r="J115" s="275"/>
      <c r="K115" s="275"/>
      <c r="O115" s="126"/>
      <c r="P115" s="125"/>
    </row>
    <row r="116" spans="1:16" ht="12.75">
      <c r="A116" s="311">
        <f t="shared" si="22"/>
        <v>72</v>
      </c>
      <c r="B116" s="312">
        <f t="shared" si="21"/>
        <v>522.0013269443716</v>
      </c>
      <c r="C116" s="312">
        <f t="shared" si="18"/>
        <v>2.610006634721858</v>
      </c>
      <c r="D116" s="312">
        <f t="shared" si="19"/>
        <v>522.0013269444444</v>
      </c>
      <c r="E116" s="312">
        <f t="shared" si="20"/>
        <v>31.888383663888522</v>
      </c>
      <c r="F116" s="312">
        <f t="shared" si="23"/>
        <v>553.8897106083328</v>
      </c>
      <c r="G116" s="275"/>
      <c r="H116" s="275"/>
      <c r="I116" s="275"/>
      <c r="J116" s="275"/>
      <c r="K116" s="275"/>
      <c r="O116" s="126"/>
      <c r="P116" s="125"/>
    </row>
    <row r="117" spans="1:11" ht="12.75">
      <c r="A117" s="298"/>
      <c r="B117" s="279"/>
      <c r="C117" s="279"/>
      <c r="D117" s="279"/>
      <c r="E117" s="279"/>
      <c r="F117" s="279"/>
      <c r="G117" s="275"/>
      <c r="H117" s="275"/>
      <c r="I117" s="275"/>
      <c r="J117" s="275"/>
      <c r="K117" s="275"/>
    </row>
    <row r="118" spans="1:11" ht="12.75">
      <c r="A118" s="298"/>
      <c r="B118" s="279" t="s">
        <v>276</v>
      </c>
      <c r="C118" s="279"/>
      <c r="D118" s="279">
        <f>SUM(D45:D116)</f>
        <v>37584.09554000007</v>
      </c>
      <c r="E118" s="279">
        <f>SUM(E45:E116)</f>
        <v>8967.140582149981</v>
      </c>
      <c r="F118" s="279">
        <f>SUM(F45:F116)</f>
        <v>46551.23612214998</v>
      </c>
      <c r="G118" s="275"/>
      <c r="H118" s="275"/>
      <c r="I118" s="275"/>
      <c r="J118" s="275"/>
      <c r="K118" s="275"/>
    </row>
    <row r="119" spans="1:12" ht="12.75">
      <c r="A119" s="298"/>
      <c r="B119" s="279"/>
      <c r="C119" s="279"/>
      <c r="D119" s="279"/>
      <c r="E119" s="279"/>
      <c r="F119" s="279"/>
      <c r="G119" s="307"/>
      <c r="H119" s="275"/>
      <c r="I119" s="307"/>
      <c r="J119" s="307"/>
      <c r="K119" s="307"/>
      <c r="L119" s="125"/>
    </row>
    <row r="120" spans="1:12" ht="12.75">
      <c r="A120" s="279" t="s">
        <v>277</v>
      </c>
      <c r="B120" s="279"/>
      <c r="C120" s="279"/>
      <c r="D120" s="279"/>
      <c r="E120" s="279"/>
      <c r="F120" s="279"/>
      <c r="G120" s="275"/>
      <c r="H120" s="275"/>
      <c r="I120" s="307"/>
      <c r="J120" s="307"/>
      <c r="K120" s="307"/>
      <c r="L120" s="125"/>
    </row>
    <row r="121" spans="1:12" ht="12.75">
      <c r="A121" s="279" t="s">
        <v>278</v>
      </c>
      <c r="B121" s="279"/>
      <c r="C121" s="279"/>
      <c r="D121" s="279"/>
      <c r="E121" s="279"/>
      <c r="F121" s="279"/>
      <c r="G121" s="275"/>
      <c r="H121" s="275"/>
      <c r="I121" s="307"/>
      <c r="J121" s="307"/>
      <c r="K121" s="307"/>
      <c r="L121" s="125"/>
    </row>
    <row r="122" spans="1:11" ht="12.75">
      <c r="A122" s="299" t="s">
        <v>279</v>
      </c>
      <c r="B122" s="299"/>
      <c r="C122" s="299"/>
      <c r="D122" s="299"/>
      <c r="E122" s="299"/>
      <c r="F122" s="279"/>
      <c r="G122" s="275"/>
      <c r="H122" s="275"/>
      <c r="I122" s="275"/>
      <c r="J122" s="275"/>
      <c r="K122" s="275"/>
    </row>
    <row r="123" spans="1:11" ht="12.75">
      <c r="A123" s="279" t="s">
        <v>280</v>
      </c>
      <c r="B123" s="279"/>
      <c r="C123" s="279"/>
      <c r="D123" s="279"/>
      <c r="E123" s="279"/>
      <c r="F123" s="279"/>
      <c r="G123" s="275"/>
      <c r="H123" s="275"/>
      <c r="I123" s="275"/>
      <c r="J123" s="275"/>
      <c r="K123" s="275"/>
    </row>
    <row r="124" spans="1:11" ht="12.75">
      <c r="A124" s="298"/>
      <c r="B124" s="279"/>
      <c r="C124" s="279"/>
      <c r="D124" s="279"/>
      <c r="E124" s="279"/>
      <c r="F124" s="279"/>
      <c r="G124" s="275"/>
      <c r="H124" s="275"/>
      <c r="I124" s="275"/>
      <c r="J124" s="275"/>
      <c r="K124" s="275"/>
    </row>
    <row r="125" spans="1:11" ht="12.75">
      <c r="A125" s="313">
        <f>F118/72</f>
        <v>646.544946140972</v>
      </c>
      <c r="B125" s="313" t="s">
        <v>173</v>
      </c>
      <c r="C125" s="313"/>
      <c r="D125" s="314"/>
      <c r="E125" s="279"/>
      <c r="F125" s="279"/>
      <c r="G125" s="275"/>
      <c r="H125" s="275"/>
      <c r="I125" s="275"/>
      <c r="J125" s="275"/>
      <c r="K125" s="275"/>
    </row>
    <row r="126" spans="1:11" ht="12.75">
      <c r="A126" s="313">
        <f>E118/72</f>
        <v>124.54361919652752</v>
      </c>
      <c r="B126" s="313" t="s">
        <v>174</v>
      </c>
      <c r="C126" s="313"/>
      <c r="D126" s="313"/>
      <c r="E126" s="279"/>
      <c r="F126" s="279"/>
      <c r="G126" s="275"/>
      <c r="H126" s="275"/>
      <c r="I126" s="275"/>
      <c r="J126" s="275"/>
      <c r="K126" s="275"/>
    </row>
    <row r="127" spans="1:11" ht="12.75">
      <c r="A127" s="313">
        <f>A125-A126</f>
        <v>522.0013269444445</v>
      </c>
      <c r="B127" s="313" t="s">
        <v>175</v>
      </c>
      <c r="C127" s="313"/>
      <c r="D127" s="313"/>
      <c r="E127" s="279"/>
      <c r="F127" s="279"/>
      <c r="G127" s="275"/>
      <c r="H127" s="275"/>
      <c r="I127" s="275"/>
      <c r="J127" s="275"/>
      <c r="K127" s="275"/>
    </row>
  </sheetData>
  <sheetProtection/>
  <mergeCells count="8">
    <mergeCell ref="A38:F38"/>
    <mergeCell ref="A31:G31"/>
    <mergeCell ref="A4:K4"/>
    <mergeCell ref="C6:J6"/>
    <mergeCell ref="A2:B2"/>
    <mergeCell ref="A30:B30"/>
    <mergeCell ref="A36:F36"/>
    <mergeCell ref="A37:F37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"/>
  <sheetViews>
    <sheetView zoomScalePageLayoutView="0" workbookViewId="0" topLeftCell="C1">
      <selection activeCell="E28" sqref="E28"/>
    </sheetView>
  </sheetViews>
  <sheetFormatPr defaultColWidth="9.140625" defaultRowHeight="12.75"/>
  <cols>
    <col min="1" max="1" width="9.140625" style="131" customWidth="1"/>
    <col min="2" max="2" width="18.00390625" style="0" bestFit="1" customWidth="1"/>
    <col min="3" max="3" width="17.57421875" style="0" bestFit="1" customWidth="1"/>
    <col min="4" max="4" width="26.421875" style="0" customWidth="1"/>
    <col min="5" max="5" width="26.140625" style="0" customWidth="1"/>
    <col min="6" max="6" width="23.7109375" style="0" bestFit="1" customWidth="1"/>
    <col min="7" max="7" width="26.8515625" style="0" bestFit="1" customWidth="1"/>
    <col min="8" max="8" width="21.57421875" style="0" bestFit="1" customWidth="1"/>
    <col min="9" max="9" width="9.28125" style="0" bestFit="1" customWidth="1"/>
    <col min="10" max="10" width="16.7109375" style="0" bestFit="1" customWidth="1"/>
  </cols>
  <sheetData>
    <row r="3" spans="1:10" s="125" customFormat="1" ht="12.75">
      <c r="A3" s="132"/>
      <c r="B3" s="132" t="s">
        <v>163</v>
      </c>
      <c r="C3" s="132" t="s">
        <v>165</v>
      </c>
      <c r="D3" s="132" t="s">
        <v>164</v>
      </c>
      <c r="E3" s="132" t="s">
        <v>168</v>
      </c>
      <c r="F3" s="132" t="s">
        <v>166</v>
      </c>
      <c r="G3" s="132" t="s">
        <v>167</v>
      </c>
      <c r="H3" s="75" t="s">
        <v>178</v>
      </c>
      <c r="I3" s="75" t="s">
        <v>170</v>
      </c>
      <c r="J3" s="75" t="s">
        <v>171</v>
      </c>
    </row>
    <row r="4" spans="1:10" ht="12.75">
      <c r="A4" s="226">
        <v>1</v>
      </c>
      <c r="B4" s="227">
        <f>окупаемость!N29</f>
        <v>2316.48</v>
      </c>
      <c r="C4" s="227">
        <f>окупаемость!N11</f>
        <v>501.321348</v>
      </c>
      <c r="D4" s="227">
        <f>окупаемость!N25</f>
        <v>2166.48</v>
      </c>
      <c r="E4" s="227">
        <f>B4-D4</f>
        <v>150</v>
      </c>
      <c r="F4" s="227">
        <f>D4*1000/17</f>
        <v>127440</v>
      </c>
      <c r="G4" s="227">
        <f aca="true" t="shared" si="0" ref="G4:G10">C4*1000/F4</f>
        <v>3.9337833333333334</v>
      </c>
      <c r="H4" s="228">
        <f>окупаемость!N30</f>
        <v>0</v>
      </c>
      <c r="I4" s="228">
        <f>окупаемость!N31</f>
        <v>108.90951912</v>
      </c>
      <c r="J4" s="228">
        <f>B4-C4-H4-I4</f>
        <v>1706.2491328800002</v>
      </c>
    </row>
    <row r="5" spans="1:10" ht="12.75">
      <c r="A5" s="226">
        <v>2</v>
      </c>
      <c r="B5" s="227">
        <f>окупаемость!N56</f>
        <v>8281.839999999998</v>
      </c>
      <c r="C5" s="227">
        <f>окупаемость!N39</f>
        <v>1271.94805</v>
      </c>
      <c r="D5" s="227">
        <f>окупаемость!N52</f>
        <v>8151.839999999998</v>
      </c>
      <c r="E5" s="227">
        <f aca="true" t="shared" si="1" ref="E5:E10">B5-D5</f>
        <v>130</v>
      </c>
      <c r="F5" s="227">
        <f aca="true" t="shared" si="2" ref="F5:F10">D5*1000/17</f>
        <v>479519.9999999999</v>
      </c>
      <c r="G5" s="227">
        <f t="shared" si="0"/>
        <v>2.6525443151484827</v>
      </c>
      <c r="H5" s="228">
        <f>окупаемость!N57</f>
        <v>1494.4799999999998</v>
      </c>
      <c r="I5" s="228">
        <f>окупаемость!N58</f>
        <v>407.24160000000006</v>
      </c>
      <c r="J5" s="228">
        <f aca="true" t="shared" si="3" ref="J5:J10">B5-C5-H5-I5</f>
        <v>5108.1703499999985</v>
      </c>
    </row>
    <row r="6" spans="1:10" ht="12.75">
      <c r="A6" s="226">
        <v>3</v>
      </c>
      <c r="B6" s="227">
        <f>окупаемость!N83</f>
        <v>9415.74</v>
      </c>
      <c r="C6" s="227">
        <f>окупаемость!N66</f>
        <v>1411.621583</v>
      </c>
      <c r="D6" s="227">
        <f>окупаемость!N79</f>
        <v>9217.74</v>
      </c>
      <c r="E6" s="227">
        <f t="shared" si="1"/>
        <v>198</v>
      </c>
      <c r="F6" s="227">
        <f t="shared" si="2"/>
        <v>542220</v>
      </c>
      <c r="G6" s="227">
        <f t="shared" si="0"/>
        <v>2.6034111301685665</v>
      </c>
      <c r="H6" s="228">
        <f>окупаемость!N84</f>
        <v>1494.4799999999998</v>
      </c>
      <c r="I6" s="228">
        <f>окупаемость!N85</f>
        <v>475.27560000000005</v>
      </c>
      <c r="J6" s="228">
        <f t="shared" si="3"/>
        <v>6034.362817</v>
      </c>
    </row>
    <row r="7" spans="1:10" ht="12.75">
      <c r="A7" s="226">
        <v>4</v>
      </c>
      <c r="B7" s="227">
        <f>окупаемость!N110</f>
        <v>10520.68</v>
      </c>
      <c r="C7" s="227">
        <f>окупаемость!N93</f>
        <v>1503.647703</v>
      </c>
      <c r="D7" s="227">
        <f>окупаемость!N106</f>
        <v>10030.68</v>
      </c>
      <c r="E7" s="227">
        <f t="shared" si="1"/>
        <v>490</v>
      </c>
      <c r="F7" s="227">
        <f t="shared" si="2"/>
        <v>590040</v>
      </c>
      <c r="G7" s="227">
        <f t="shared" si="0"/>
        <v>2.5483826571079926</v>
      </c>
      <c r="H7" s="228">
        <f>окупаемость!N111</f>
        <v>1494.4799999999998</v>
      </c>
      <c r="I7" s="228">
        <f>окупаемость!N112</f>
        <v>631.2407999999999</v>
      </c>
      <c r="J7" s="228">
        <f t="shared" si="3"/>
        <v>6891.311497000001</v>
      </c>
    </row>
    <row r="8" spans="1:10" ht="12.75">
      <c r="A8" s="226">
        <v>5</v>
      </c>
      <c r="B8" s="227">
        <f>окупаемость!N137</f>
        <v>10873.08</v>
      </c>
      <c r="C8" s="227">
        <f>окупаемость!N120</f>
        <v>1565.9559</v>
      </c>
      <c r="D8" s="227">
        <f>окупаемость!N133</f>
        <v>10153.08</v>
      </c>
      <c r="E8" s="227">
        <f t="shared" si="1"/>
        <v>720</v>
      </c>
      <c r="F8" s="227">
        <f t="shared" si="2"/>
        <v>597240</v>
      </c>
      <c r="G8" s="227">
        <f t="shared" si="0"/>
        <v>2.621987643158529</v>
      </c>
      <c r="H8" s="228">
        <f>окупаемость!N138</f>
        <v>1494.4799999999998</v>
      </c>
      <c r="I8" s="228">
        <f>окупаемость!N139</f>
        <v>652.3848000000002</v>
      </c>
      <c r="J8" s="228">
        <f t="shared" si="3"/>
        <v>7160.2593000000015</v>
      </c>
    </row>
    <row r="9" spans="1:10" ht="12.75">
      <c r="A9" s="226">
        <v>6</v>
      </c>
      <c r="B9" s="227">
        <f>окупаемость!N164</f>
        <v>10873.08</v>
      </c>
      <c r="C9" s="227">
        <f>окупаемость!N147</f>
        <v>1567.7900000000002</v>
      </c>
      <c r="D9" s="227">
        <f>окупаемость!N160</f>
        <v>10153.08</v>
      </c>
      <c r="E9" s="227">
        <f t="shared" si="1"/>
        <v>720</v>
      </c>
      <c r="F9" s="227">
        <f t="shared" si="2"/>
        <v>597240</v>
      </c>
      <c r="G9" s="227">
        <f t="shared" si="0"/>
        <v>2.6250586029067047</v>
      </c>
      <c r="H9" s="228">
        <f>окупаемость!N165</f>
        <v>1494.4799999999998</v>
      </c>
      <c r="I9" s="228">
        <f>окупаемость!N166</f>
        <v>652.3848000000002</v>
      </c>
      <c r="J9" s="228">
        <f t="shared" si="3"/>
        <v>7158.4252</v>
      </c>
    </row>
    <row r="10" spans="1:10" ht="12.75">
      <c r="A10" s="226">
        <v>7</v>
      </c>
      <c r="B10" s="227">
        <f>окупаемость!N191</f>
        <v>10873.08</v>
      </c>
      <c r="C10" s="227">
        <f>окупаемость!N174</f>
        <v>1567.7900000000002</v>
      </c>
      <c r="D10" s="227">
        <f>окупаемость!N187</f>
        <v>10153.08</v>
      </c>
      <c r="E10" s="227">
        <f t="shared" si="1"/>
        <v>720</v>
      </c>
      <c r="F10" s="227">
        <f t="shared" si="2"/>
        <v>597240</v>
      </c>
      <c r="G10" s="227">
        <f t="shared" si="0"/>
        <v>2.6250586029067047</v>
      </c>
      <c r="H10" s="228">
        <f>окупаемость!N192</f>
        <v>1494.4799999999998</v>
      </c>
      <c r="I10" s="228">
        <f>окупаемость!N193</f>
        <v>652.3848000000002</v>
      </c>
      <c r="J10" s="228">
        <f t="shared" si="3"/>
        <v>7158.4252</v>
      </c>
    </row>
    <row r="12" spans="2:10" ht="12.75">
      <c r="B12" s="133">
        <f>SUM(B4:B10)</f>
        <v>63153.98</v>
      </c>
      <c r="C12" s="133">
        <f>SUM(C4:C10)</f>
        <v>9390.074584</v>
      </c>
      <c r="D12" s="133">
        <f aca="true" t="shared" si="4" ref="D12:J12">SUM(D4:D10)</f>
        <v>60025.98</v>
      </c>
      <c r="E12" s="133">
        <f t="shared" si="4"/>
        <v>3128</v>
      </c>
      <c r="F12" s="133">
        <f t="shared" si="4"/>
        <v>3530940</v>
      </c>
      <c r="G12" s="133">
        <f>C12/F12*1000</f>
        <v>2.659369625085671</v>
      </c>
      <c r="H12" s="133">
        <f t="shared" si="4"/>
        <v>8966.88</v>
      </c>
      <c r="I12" s="133">
        <f t="shared" si="4"/>
        <v>3579.821919120001</v>
      </c>
      <c r="J12" s="133">
        <f t="shared" si="4"/>
        <v>41217.20349688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1"/>
  <sheetViews>
    <sheetView view="pageBreakPreview" zoomScaleSheetLayoutView="100" zoomScalePageLayoutView="0" workbookViewId="0" topLeftCell="A160">
      <selection activeCell="P171" sqref="P171"/>
    </sheetView>
  </sheetViews>
  <sheetFormatPr defaultColWidth="9.140625" defaultRowHeight="12.75"/>
  <cols>
    <col min="1" max="1" width="21.00390625" style="0" customWidth="1"/>
    <col min="2" max="3" width="10.28125" style="0" bestFit="1" customWidth="1"/>
    <col min="4" max="11" width="9.28125" style="0" bestFit="1" customWidth="1"/>
    <col min="12" max="13" width="10.421875" style="0" bestFit="1" customWidth="1"/>
    <col min="14" max="14" width="18.28125" style="99" customWidth="1"/>
  </cols>
  <sheetData>
    <row r="1" spans="1:5" ht="12.75">
      <c r="A1" s="402" t="s">
        <v>248</v>
      </c>
      <c r="B1" s="402"/>
      <c r="C1" s="402"/>
      <c r="D1" s="402"/>
      <c r="E1" s="402"/>
    </row>
    <row r="2" spans="1:5" ht="12.75">
      <c r="A2" s="232"/>
      <c r="B2" s="232"/>
      <c r="C2" s="232"/>
      <c r="D2" s="232"/>
      <c r="E2" s="232"/>
    </row>
    <row r="3" spans="1:5" ht="12.75">
      <c r="A3" s="232" t="s">
        <v>283</v>
      </c>
      <c r="B3" s="232"/>
      <c r="C3" s="232"/>
      <c r="D3" s="232"/>
      <c r="E3" s="232"/>
    </row>
    <row r="4" spans="1:5" ht="12.75">
      <c r="A4" s="230"/>
      <c r="B4" s="230"/>
      <c r="C4" s="230"/>
      <c r="D4" s="230"/>
      <c r="E4" s="230"/>
    </row>
    <row r="5" spans="1:14" ht="12.75">
      <c r="A5" s="77"/>
      <c r="B5" s="409" t="s">
        <v>128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6" t="s">
        <v>284</v>
      </c>
    </row>
    <row r="6" spans="1:14" ht="13.5" thickBot="1">
      <c r="A6" s="117" t="s">
        <v>154</v>
      </c>
      <c r="B6" s="118">
        <v>1</v>
      </c>
      <c r="C6" s="119">
        <v>2</v>
      </c>
      <c r="D6" s="120">
        <v>3</v>
      </c>
      <c r="E6" s="119">
        <v>4</v>
      </c>
      <c r="F6" s="118">
        <v>5</v>
      </c>
      <c r="G6" s="118">
        <v>6</v>
      </c>
      <c r="H6" s="118">
        <v>7</v>
      </c>
      <c r="I6" s="118">
        <v>8</v>
      </c>
      <c r="J6" s="118">
        <v>9</v>
      </c>
      <c r="K6" s="118">
        <v>10</v>
      </c>
      <c r="L6" s="118">
        <v>11</v>
      </c>
      <c r="M6" s="118">
        <v>12</v>
      </c>
      <c r="N6" s="407"/>
    </row>
    <row r="7" spans="1:14" ht="16.5" thickBot="1">
      <c r="A7" s="151" t="s">
        <v>156</v>
      </c>
      <c r="B7" s="116">
        <f>SUM(B8:B10)</f>
        <v>20000</v>
      </c>
      <c r="C7" s="116">
        <f aca="true" t="shared" si="0" ref="C7:M7">SUM(C8:C10)</f>
        <v>13701</v>
      </c>
      <c r="D7" s="116">
        <f t="shared" si="0"/>
        <v>0</v>
      </c>
      <c r="E7" s="116">
        <f t="shared" si="0"/>
        <v>1701</v>
      </c>
      <c r="F7" s="116">
        <f t="shared" si="0"/>
        <v>0</v>
      </c>
      <c r="G7" s="116">
        <f t="shared" si="0"/>
        <v>1702</v>
      </c>
      <c r="H7" s="116">
        <f t="shared" si="0"/>
        <v>0</v>
      </c>
      <c r="I7" s="116">
        <f t="shared" si="0"/>
        <v>0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36">
        <f>SUM(N8:N10)</f>
        <v>37104</v>
      </c>
    </row>
    <row r="8" spans="1:14" ht="12.75">
      <c r="A8" s="35" t="s">
        <v>129</v>
      </c>
      <c r="B8" s="112">
        <v>20000</v>
      </c>
      <c r="C8" s="113">
        <v>12000</v>
      </c>
      <c r="D8" s="114"/>
      <c r="E8" s="113"/>
      <c r="F8" s="112"/>
      <c r="G8" s="112"/>
      <c r="H8" s="112"/>
      <c r="I8" s="112"/>
      <c r="J8" s="112"/>
      <c r="K8" s="112"/>
      <c r="L8" s="112"/>
      <c r="M8" s="112"/>
      <c r="N8" s="137">
        <f>SUM(B8:M8)</f>
        <v>32000</v>
      </c>
    </row>
    <row r="9" spans="1:14" ht="12.75">
      <c r="A9" s="2" t="s">
        <v>130</v>
      </c>
      <c r="B9" s="101"/>
      <c r="C9" s="102"/>
      <c r="D9" s="103"/>
      <c r="E9" s="102"/>
      <c r="F9" s="101"/>
      <c r="G9" s="101"/>
      <c r="H9" s="101"/>
      <c r="I9" s="101"/>
      <c r="J9" s="101"/>
      <c r="K9" s="101"/>
      <c r="L9" s="101"/>
      <c r="M9" s="101"/>
      <c r="N9" s="138">
        <f aca="true" t="shared" si="1" ref="N9:N22">SUM(B9:M9)</f>
        <v>0</v>
      </c>
    </row>
    <row r="10" spans="1:14" ht="13.5" thickBot="1">
      <c r="A10" s="108" t="s">
        <v>131</v>
      </c>
      <c r="B10" s="109"/>
      <c r="C10" s="110">
        <v>1701</v>
      </c>
      <c r="D10" s="111"/>
      <c r="E10" s="110">
        <v>1701</v>
      </c>
      <c r="F10" s="109"/>
      <c r="G10" s="109">
        <v>1702</v>
      </c>
      <c r="H10" s="109"/>
      <c r="I10" s="109"/>
      <c r="J10" s="109"/>
      <c r="K10" s="109"/>
      <c r="L10" s="109"/>
      <c r="M10" s="109"/>
      <c r="N10" s="139">
        <f t="shared" si="1"/>
        <v>5104</v>
      </c>
    </row>
    <row r="11" spans="1:14" ht="16.5" thickBot="1">
      <c r="A11" s="151" t="s">
        <v>186</v>
      </c>
      <c r="B11" s="116">
        <f>SUM(B12:B22)</f>
        <v>0</v>
      </c>
      <c r="C11" s="116">
        <f aca="true" t="shared" si="2" ref="C11:M11">SUM(C12:C22)</f>
        <v>50.81452</v>
      </c>
      <c r="D11" s="116">
        <f t="shared" si="2"/>
        <v>42.81452</v>
      </c>
      <c r="E11" s="116">
        <f t="shared" si="2"/>
        <v>72.94186</v>
      </c>
      <c r="F11" s="116">
        <f t="shared" si="2"/>
        <v>65.94186</v>
      </c>
      <c r="G11" s="116">
        <f t="shared" si="2"/>
        <v>92.0692</v>
      </c>
      <c r="H11" s="116">
        <f t="shared" si="2"/>
        <v>81.46038</v>
      </c>
      <c r="I11" s="116">
        <f t="shared" si="2"/>
        <v>74.0532</v>
      </c>
      <c r="J11" s="116">
        <f t="shared" si="2"/>
        <v>99.19512</v>
      </c>
      <c r="K11" s="116">
        <f t="shared" si="2"/>
        <v>105.86806899999999</v>
      </c>
      <c r="L11" s="116">
        <f t="shared" si="2"/>
        <v>118.366988</v>
      </c>
      <c r="M11" s="116">
        <f t="shared" si="2"/>
        <v>103.837971</v>
      </c>
      <c r="N11" s="136">
        <f>I11+J11+K11+L11+M11</f>
        <v>501.321348</v>
      </c>
    </row>
    <row r="12" spans="1:15" ht="12.75">
      <c r="A12" s="35" t="s">
        <v>132</v>
      </c>
      <c r="B12" s="112"/>
      <c r="C12" s="113">
        <f>'расходы на корма'!X5</f>
        <v>14.18796</v>
      </c>
      <c r="D12" s="114">
        <f>'расходы на корма'!X6</f>
        <v>14.18796</v>
      </c>
      <c r="E12" s="113">
        <f>'расходы на корма'!X7</f>
        <v>30.688740000000003</v>
      </c>
      <c r="F12" s="112">
        <f>'расходы на корма'!X8</f>
        <v>30.688740000000003</v>
      </c>
      <c r="G12" s="112">
        <f>'расходы на корма'!X9</f>
        <v>47.189519999999995</v>
      </c>
      <c r="H12" s="112">
        <f>'расходы на корма'!X10</f>
        <v>43.5807</v>
      </c>
      <c r="I12" s="112">
        <f>'расходы на корма'!X11</f>
        <v>36.173519999999996</v>
      </c>
      <c r="J12" s="112">
        <f>'расходы на корма'!X12</f>
        <v>49.523872000000004</v>
      </c>
      <c r="K12" s="112">
        <f>'расходы на корма'!X13</f>
        <v>44.044405</v>
      </c>
      <c r="L12" s="112">
        <f>'расходы на корма'!X14</f>
        <v>43.708408</v>
      </c>
      <c r="M12" s="112">
        <f>'расходы на корма'!X15</f>
        <v>37.614475</v>
      </c>
      <c r="N12" s="137">
        <f t="shared" si="1"/>
        <v>391.5883</v>
      </c>
      <c r="O12" s="12"/>
    </row>
    <row r="13" spans="1:14" ht="12.75">
      <c r="A13" s="2" t="s">
        <v>133</v>
      </c>
      <c r="B13" s="101"/>
      <c r="C13" s="102">
        <f>'расходы на корма'!AD5</f>
        <v>2.16</v>
      </c>
      <c r="D13" s="103">
        <f>'расходы на корма'!AD6</f>
        <v>2.16</v>
      </c>
      <c r="E13" s="102">
        <f>'расходы на корма'!AD7</f>
        <v>4.32</v>
      </c>
      <c r="F13" s="101">
        <f>'расходы на корма'!AD8</f>
        <v>4.32</v>
      </c>
      <c r="G13" s="101">
        <f>'расходы на корма'!AD9</f>
        <v>6.48</v>
      </c>
      <c r="H13" s="101">
        <f>'расходы на корма'!AD10</f>
        <v>6.48</v>
      </c>
      <c r="I13" s="101">
        <f>'расходы на корма'!AD11</f>
        <v>6.48</v>
      </c>
      <c r="J13" s="101">
        <f>'расходы на корма'!AD12</f>
        <v>8.34</v>
      </c>
      <c r="K13" s="101">
        <f>'расходы на корма'!AD13</f>
        <v>8.625</v>
      </c>
      <c r="L13" s="101">
        <f>'расходы на корма'!AD14</f>
        <v>8.9225</v>
      </c>
      <c r="M13" s="101">
        <f>'расходы на корма'!AD15</f>
        <v>9.12</v>
      </c>
      <c r="N13" s="138">
        <f t="shared" si="1"/>
        <v>67.40750000000001</v>
      </c>
    </row>
    <row r="14" spans="1:14" ht="12.75">
      <c r="A14" s="2" t="s">
        <v>134</v>
      </c>
      <c r="B14" s="101"/>
      <c r="C14" s="102">
        <v>7</v>
      </c>
      <c r="D14" s="103">
        <v>1</v>
      </c>
      <c r="E14" s="102">
        <v>7</v>
      </c>
      <c r="F14" s="101">
        <v>2</v>
      </c>
      <c r="G14" s="101">
        <v>7</v>
      </c>
      <c r="H14" s="101">
        <v>2</v>
      </c>
      <c r="I14" s="101">
        <v>2</v>
      </c>
      <c r="J14" s="101">
        <v>3</v>
      </c>
      <c r="K14" s="101">
        <v>3</v>
      </c>
      <c r="L14" s="101">
        <v>4</v>
      </c>
      <c r="M14" s="101">
        <v>4</v>
      </c>
      <c r="N14" s="138">
        <f t="shared" si="1"/>
        <v>42</v>
      </c>
    </row>
    <row r="15" spans="1:14" ht="12.75">
      <c r="A15" s="2" t="s">
        <v>135</v>
      </c>
      <c r="B15" s="101"/>
      <c r="C15" s="102">
        <v>2</v>
      </c>
      <c r="D15" s="103">
        <v>0</v>
      </c>
      <c r="E15" s="102">
        <v>2</v>
      </c>
      <c r="F15" s="101">
        <v>0</v>
      </c>
      <c r="G15" s="101">
        <v>2</v>
      </c>
      <c r="H15" s="101">
        <v>0</v>
      </c>
      <c r="I15" s="101">
        <v>0</v>
      </c>
      <c r="J15" s="101">
        <v>0</v>
      </c>
      <c r="K15" s="101">
        <v>0</v>
      </c>
      <c r="L15" s="101">
        <v>10</v>
      </c>
      <c r="M15" s="101">
        <v>0</v>
      </c>
      <c r="N15" s="138">
        <f t="shared" si="1"/>
        <v>16</v>
      </c>
    </row>
    <row r="16" spans="1:14" ht="12.75">
      <c r="A16" s="2" t="s">
        <v>136</v>
      </c>
      <c r="B16" s="101"/>
      <c r="C16" s="102">
        <v>2</v>
      </c>
      <c r="D16" s="103">
        <v>2</v>
      </c>
      <c r="E16" s="102">
        <v>2</v>
      </c>
      <c r="F16" s="101">
        <v>2</v>
      </c>
      <c r="G16" s="101">
        <v>2</v>
      </c>
      <c r="H16" s="101">
        <v>2</v>
      </c>
      <c r="I16" s="101">
        <v>2</v>
      </c>
      <c r="J16" s="101">
        <v>5</v>
      </c>
      <c r="K16" s="101">
        <v>6</v>
      </c>
      <c r="L16" s="101">
        <v>7</v>
      </c>
      <c r="M16" s="101">
        <v>8</v>
      </c>
      <c r="N16" s="138">
        <f t="shared" si="1"/>
        <v>40</v>
      </c>
    </row>
    <row r="17" spans="1:14" ht="12.75">
      <c r="A17" s="2" t="s">
        <v>114</v>
      </c>
      <c r="B17" s="101"/>
      <c r="C17" s="102">
        <f>'расходы на корма'!AA5</f>
        <v>0.46656</v>
      </c>
      <c r="D17" s="103">
        <f>'расходы на корма'!AA6</f>
        <v>0.46656</v>
      </c>
      <c r="E17" s="102">
        <f>'расходы на корма'!AA7</f>
        <v>0.93312</v>
      </c>
      <c r="F17" s="101">
        <f>'расходы на корма'!AA8</f>
        <v>0.93312</v>
      </c>
      <c r="G17" s="101">
        <f>'расходы на корма'!AA9</f>
        <v>1.39968</v>
      </c>
      <c r="H17" s="101">
        <f>'расходы на корма'!AA10</f>
        <v>1.39968</v>
      </c>
      <c r="I17" s="101">
        <f>'расходы на корма'!AA11</f>
        <v>1.39968</v>
      </c>
      <c r="J17" s="101">
        <f>'расходы на корма'!AA12</f>
        <v>1.831248</v>
      </c>
      <c r="K17" s="101">
        <f>'расходы на корма'!AA13</f>
        <v>2.1986640000000004</v>
      </c>
      <c r="L17" s="101">
        <f>'расходы на корма'!AA14</f>
        <v>2.56608</v>
      </c>
      <c r="M17" s="101">
        <f>'расходы на корма'!AA15</f>
        <v>2.933496</v>
      </c>
      <c r="N17" s="138">
        <f t="shared" si="1"/>
        <v>16.527888</v>
      </c>
    </row>
    <row r="18" spans="1:14" ht="12.75">
      <c r="A18" s="2" t="s">
        <v>137</v>
      </c>
      <c r="B18" s="101"/>
      <c r="C18" s="102">
        <v>15</v>
      </c>
      <c r="D18" s="103">
        <v>15</v>
      </c>
      <c r="E18" s="102">
        <v>15</v>
      </c>
      <c r="F18" s="101">
        <v>15</v>
      </c>
      <c r="G18" s="101">
        <v>15</v>
      </c>
      <c r="H18" s="101">
        <v>15</v>
      </c>
      <c r="I18" s="101">
        <v>15</v>
      </c>
      <c r="J18" s="101">
        <v>20</v>
      </c>
      <c r="K18" s="101">
        <v>30</v>
      </c>
      <c r="L18" s="101">
        <v>30</v>
      </c>
      <c r="M18" s="101">
        <v>30</v>
      </c>
      <c r="N18" s="138">
        <f t="shared" si="1"/>
        <v>215</v>
      </c>
    </row>
    <row r="19" spans="1:14" ht="12.75">
      <c r="A19" s="2" t="s">
        <v>138</v>
      </c>
      <c r="B19" s="101"/>
      <c r="C19" s="102">
        <v>1</v>
      </c>
      <c r="D19" s="103">
        <v>1</v>
      </c>
      <c r="E19" s="102">
        <v>1</v>
      </c>
      <c r="F19" s="101">
        <v>1</v>
      </c>
      <c r="G19" s="101">
        <v>1</v>
      </c>
      <c r="H19" s="101">
        <v>1</v>
      </c>
      <c r="I19" s="101">
        <v>1</v>
      </c>
      <c r="J19" s="101">
        <v>1</v>
      </c>
      <c r="K19" s="101">
        <v>1</v>
      </c>
      <c r="L19" s="101">
        <v>1</v>
      </c>
      <c r="M19" s="101">
        <v>1</v>
      </c>
      <c r="N19" s="138">
        <f t="shared" si="1"/>
        <v>11</v>
      </c>
    </row>
    <row r="20" spans="1:14" ht="12.75">
      <c r="A20" s="2" t="s">
        <v>139</v>
      </c>
      <c r="B20" s="101"/>
      <c r="C20" s="102">
        <v>7</v>
      </c>
      <c r="D20" s="103">
        <v>7</v>
      </c>
      <c r="E20" s="102">
        <v>10</v>
      </c>
      <c r="F20" s="101">
        <v>10</v>
      </c>
      <c r="G20" s="101">
        <v>10</v>
      </c>
      <c r="H20" s="101">
        <v>10</v>
      </c>
      <c r="I20" s="101">
        <v>10</v>
      </c>
      <c r="J20" s="101">
        <v>10</v>
      </c>
      <c r="K20" s="101">
        <v>10</v>
      </c>
      <c r="L20" s="101">
        <v>10</v>
      </c>
      <c r="M20" s="101">
        <v>10</v>
      </c>
      <c r="N20" s="138">
        <f t="shared" si="1"/>
        <v>104</v>
      </c>
    </row>
    <row r="21" spans="1:14" ht="12.75">
      <c r="A21" s="2" t="s">
        <v>151</v>
      </c>
      <c r="B21" s="101"/>
      <c r="C21" s="102"/>
      <c r="D21" s="103"/>
      <c r="E21" s="102"/>
      <c r="F21" s="101"/>
      <c r="G21" s="101"/>
      <c r="H21" s="101"/>
      <c r="I21" s="101"/>
      <c r="J21" s="101">
        <v>0.5</v>
      </c>
      <c r="K21" s="101">
        <v>1</v>
      </c>
      <c r="L21" s="101">
        <v>1.17</v>
      </c>
      <c r="M21" s="101">
        <v>1.17</v>
      </c>
      <c r="N21" s="138">
        <f t="shared" si="1"/>
        <v>3.84</v>
      </c>
    </row>
    <row r="22" spans="1:14" ht="12.75">
      <c r="A22" s="2" t="s">
        <v>140</v>
      </c>
      <c r="B22" s="101"/>
      <c r="C22" s="102"/>
      <c r="D22" s="103"/>
      <c r="E22" s="102"/>
      <c r="F22" s="101"/>
      <c r="G22" s="101"/>
      <c r="H22" s="101"/>
      <c r="I22" s="101"/>
      <c r="J22" s="101"/>
      <c r="K22" s="101"/>
      <c r="L22" s="104"/>
      <c r="M22" s="104"/>
      <c r="N22" s="138">
        <f t="shared" si="1"/>
        <v>0</v>
      </c>
    </row>
    <row r="23" spans="1:14" ht="12.75">
      <c r="A23" s="75"/>
      <c r="B23" s="101"/>
      <c r="C23" s="102"/>
      <c r="D23" s="103"/>
      <c r="E23" s="102"/>
      <c r="F23" s="101"/>
      <c r="G23" s="101"/>
      <c r="H23" s="101"/>
      <c r="I23" s="101"/>
      <c r="J23" s="101"/>
      <c r="K23" s="101"/>
      <c r="L23" s="101"/>
      <c r="M23" s="101"/>
      <c r="N23" s="138"/>
    </row>
    <row r="24" spans="1:14" ht="15.75">
      <c r="A24" s="78" t="s">
        <v>183</v>
      </c>
      <c r="B24" s="101"/>
      <c r="C24" s="102"/>
      <c r="D24" s="103"/>
      <c r="E24" s="102"/>
      <c r="F24" s="101"/>
      <c r="G24" s="101"/>
      <c r="H24" s="101" t="s">
        <v>169</v>
      </c>
      <c r="I24" s="101"/>
      <c r="J24" s="101"/>
      <c r="K24" s="101"/>
      <c r="L24" s="101"/>
      <c r="M24" s="101"/>
      <c r="N24" s="138"/>
    </row>
    <row r="25" spans="1:14" ht="12.75">
      <c r="A25" s="2" t="s">
        <v>158</v>
      </c>
      <c r="B25" s="101"/>
      <c r="C25" s="102"/>
      <c r="D25" s="103"/>
      <c r="E25" s="102"/>
      <c r="F25" s="101"/>
      <c r="G25" s="101"/>
      <c r="H25" s="101"/>
      <c r="I25" s="101">
        <f>'Производство продукции'!J12</f>
        <v>110.16</v>
      </c>
      <c r="J25" s="101">
        <f>'Производство продукции'!J15</f>
        <v>275.4</v>
      </c>
      <c r="K25" s="101">
        <f>'Производство продукции'!J19</f>
        <v>440.64</v>
      </c>
      <c r="L25" s="101">
        <f>'Производство продукции'!J24</f>
        <v>596.7</v>
      </c>
      <c r="M25" s="101">
        <f>'Производство продукции'!J30</f>
        <v>743.58</v>
      </c>
      <c r="N25" s="138">
        <f aca="true" t="shared" si="3" ref="N25:N32">SUM(B25:M25)</f>
        <v>2166.48</v>
      </c>
    </row>
    <row r="26" spans="1:14" ht="12.75">
      <c r="A26" s="2" t="s">
        <v>148</v>
      </c>
      <c r="B26" s="101"/>
      <c r="C26" s="102"/>
      <c r="D26" s="103"/>
      <c r="E26" s="102"/>
      <c r="F26" s="101"/>
      <c r="G26" s="101"/>
      <c r="H26" s="101"/>
      <c r="I26" s="101">
        <f>'Производство продукции'!M12</f>
        <v>30</v>
      </c>
      <c r="J26" s="101">
        <f>'Производство продукции'!M12</f>
        <v>30</v>
      </c>
      <c r="K26" s="101">
        <f>'Производство продукции'!M15</f>
        <v>30</v>
      </c>
      <c r="L26" s="101">
        <f>'Производство продукции'!M19</f>
        <v>30</v>
      </c>
      <c r="M26" s="101">
        <f>'Производство продукции'!M24</f>
        <v>30</v>
      </c>
      <c r="N26" s="138">
        <f t="shared" si="3"/>
        <v>150</v>
      </c>
    </row>
    <row r="27" spans="1:14" ht="12.75">
      <c r="A27" s="2" t="s">
        <v>141</v>
      </c>
      <c r="B27" s="101"/>
      <c r="C27" s="102"/>
      <c r="D27" s="103"/>
      <c r="E27" s="102"/>
      <c r="F27" s="101"/>
      <c r="G27" s="101"/>
      <c r="H27" s="101"/>
      <c r="I27" s="101"/>
      <c r="J27" s="101">
        <v>0</v>
      </c>
      <c r="K27" s="101">
        <v>0</v>
      </c>
      <c r="L27" s="101">
        <v>0</v>
      </c>
      <c r="M27" s="101">
        <v>0</v>
      </c>
      <c r="N27" s="138">
        <f t="shared" si="3"/>
        <v>0</v>
      </c>
    </row>
    <row r="28" spans="1:14" ht="13.5" thickBot="1">
      <c r="A28" s="108" t="s">
        <v>160</v>
      </c>
      <c r="B28" s="109"/>
      <c r="C28" s="110"/>
      <c r="D28" s="111"/>
      <c r="E28" s="110"/>
      <c r="F28" s="109"/>
      <c r="G28" s="109"/>
      <c r="H28" s="109"/>
      <c r="I28" s="109"/>
      <c r="J28" s="109">
        <v>0</v>
      </c>
      <c r="K28" s="109">
        <v>0</v>
      </c>
      <c r="L28" s="109">
        <v>0</v>
      </c>
      <c r="M28" s="109">
        <v>0</v>
      </c>
      <c r="N28" s="139">
        <f t="shared" si="3"/>
        <v>0</v>
      </c>
    </row>
    <row r="29" spans="1:15" ht="16.5" thickBot="1">
      <c r="A29" s="115" t="s">
        <v>185</v>
      </c>
      <c r="B29" s="121"/>
      <c r="C29" s="122"/>
      <c r="D29" s="123"/>
      <c r="E29" s="122"/>
      <c r="F29" s="121"/>
      <c r="G29" s="121"/>
      <c r="H29" s="121"/>
      <c r="I29" s="121">
        <f>SUM(I25:I28)</f>
        <v>140.16</v>
      </c>
      <c r="J29" s="121">
        <f>SUM(J25:J28)</f>
        <v>305.4</v>
      </c>
      <c r="K29" s="121">
        <f>SUM(K25:K28)</f>
        <v>470.64</v>
      </c>
      <c r="L29" s="121">
        <f>SUM(L25:L28)</f>
        <v>626.7</v>
      </c>
      <c r="M29" s="121">
        <f>SUM(M25:M28)</f>
        <v>773.58</v>
      </c>
      <c r="N29" s="136">
        <f t="shared" si="3"/>
        <v>2316.48</v>
      </c>
      <c r="O29" s="91"/>
    </row>
    <row r="30" spans="1:15" ht="15.75">
      <c r="A30" s="147" t="s">
        <v>172</v>
      </c>
      <c r="B30" s="112"/>
      <c r="C30" s="113"/>
      <c r="D30" s="114"/>
      <c r="E30" s="113"/>
      <c r="F30" s="112"/>
      <c r="G30" s="112"/>
      <c r="H30" s="112"/>
      <c r="I30" s="112"/>
      <c r="J30" s="112"/>
      <c r="K30" s="112"/>
      <c r="L30" s="112"/>
      <c r="M30" s="112"/>
      <c r="N30" s="148"/>
      <c r="O30" s="91"/>
    </row>
    <row r="31" spans="1:15" ht="13.5" thickBot="1">
      <c r="A31" s="149" t="s">
        <v>170</v>
      </c>
      <c r="B31" s="109"/>
      <c r="C31" s="110"/>
      <c r="D31" s="111"/>
      <c r="E31" s="110"/>
      <c r="F31" s="109"/>
      <c r="G31" s="109"/>
      <c r="H31" s="109"/>
      <c r="I31" s="109">
        <f>(I29-I11)*6%</f>
        <v>3.9664079999999995</v>
      </c>
      <c r="J31" s="109">
        <f>(J29-J11)*6%</f>
        <v>12.372292799999999</v>
      </c>
      <c r="K31" s="109">
        <f>(K29-K11)*6%</f>
        <v>21.88631586</v>
      </c>
      <c r="L31" s="109">
        <f>(L29-L11)*6%</f>
        <v>30.499980720000003</v>
      </c>
      <c r="M31" s="109">
        <f>(M29-M11)*6%</f>
        <v>40.18452174</v>
      </c>
      <c r="N31" s="139">
        <f t="shared" si="3"/>
        <v>108.90951912</v>
      </c>
      <c r="O31" s="91"/>
    </row>
    <row r="32" spans="1:15" ht="15.75" thickBot="1">
      <c r="A32" s="115" t="s">
        <v>171</v>
      </c>
      <c r="B32" s="121"/>
      <c r="C32" s="122"/>
      <c r="D32" s="123"/>
      <c r="E32" s="122"/>
      <c r="F32" s="121"/>
      <c r="G32" s="121"/>
      <c r="H32" s="121"/>
      <c r="I32" s="121">
        <f>I29-I11-I31</f>
        <v>62.14039199999999</v>
      </c>
      <c r="J32" s="121">
        <f>J29-J11-J31</f>
        <v>193.83258719999998</v>
      </c>
      <c r="K32" s="121">
        <f>K29-K11-K31</f>
        <v>342.88561513999997</v>
      </c>
      <c r="L32" s="121">
        <f>L29-L11-L31</f>
        <v>477.83303128000006</v>
      </c>
      <c r="M32" s="121">
        <f>M29-M11-M31</f>
        <v>629.55750726</v>
      </c>
      <c r="N32" s="150">
        <f t="shared" si="3"/>
        <v>1706.24913288</v>
      </c>
      <c r="O32" s="91"/>
    </row>
    <row r="33" spans="1:15" ht="15">
      <c r="A33" s="134"/>
      <c r="B33" s="135"/>
      <c r="C33" s="235"/>
      <c r="D33" s="237"/>
      <c r="E33" s="235"/>
      <c r="F33" s="135"/>
      <c r="G33" s="135"/>
      <c r="H33" s="135"/>
      <c r="I33" s="135"/>
      <c r="J33" s="135"/>
      <c r="K33" s="135"/>
      <c r="L33" s="135"/>
      <c r="M33" s="135"/>
      <c r="N33" s="236"/>
      <c r="O33" s="91"/>
    </row>
    <row r="34" spans="1:15" ht="15">
      <c r="A34" s="402" t="s">
        <v>248</v>
      </c>
      <c r="B34" s="402"/>
      <c r="C34" s="402"/>
      <c r="D34" s="402"/>
      <c r="E34" s="402"/>
      <c r="F34" s="135"/>
      <c r="G34" s="135"/>
      <c r="H34" s="135"/>
      <c r="I34" s="135"/>
      <c r="J34" s="135"/>
      <c r="K34" s="135"/>
      <c r="L34" s="135"/>
      <c r="M34" s="135"/>
      <c r="N34" s="236"/>
      <c r="O34" s="91"/>
    </row>
    <row r="35" spans="2:14" ht="12.75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40"/>
    </row>
    <row r="36" spans="1:14" ht="12.75" customHeight="1">
      <c r="A36" s="77"/>
      <c r="B36" s="408" t="s">
        <v>143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6" t="s">
        <v>287</v>
      </c>
    </row>
    <row r="37" spans="1:14" ht="12.75">
      <c r="A37" s="77" t="s">
        <v>154</v>
      </c>
      <c r="B37" s="106">
        <v>1</v>
      </c>
      <c r="C37" s="107">
        <v>2</v>
      </c>
      <c r="D37" s="107">
        <v>3</v>
      </c>
      <c r="E37" s="107">
        <v>4</v>
      </c>
      <c r="F37" s="106">
        <v>5</v>
      </c>
      <c r="G37" s="106">
        <v>6</v>
      </c>
      <c r="H37" s="106">
        <v>7</v>
      </c>
      <c r="I37" s="107">
        <v>8</v>
      </c>
      <c r="J37" s="106">
        <v>9</v>
      </c>
      <c r="K37" s="106">
        <v>10</v>
      </c>
      <c r="L37" s="106">
        <v>11</v>
      </c>
      <c r="M37" s="106">
        <v>12</v>
      </c>
      <c r="N37" s="407"/>
    </row>
    <row r="38" spans="1:14" ht="16.5" thickBot="1">
      <c r="A38" s="124" t="s">
        <v>156</v>
      </c>
      <c r="B38" s="109"/>
      <c r="C38" s="110"/>
      <c r="D38" s="110"/>
      <c r="E38" s="110"/>
      <c r="F38" s="109"/>
      <c r="G38" s="109"/>
      <c r="H38" s="109"/>
      <c r="I38" s="110"/>
      <c r="J38" s="109"/>
      <c r="K38" s="109"/>
      <c r="L38" s="109"/>
      <c r="M38" s="109"/>
      <c r="N38" s="139">
        <v>0</v>
      </c>
    </row>
    <row r="39" spans="1:14" ht="16.5" thickBot="1">
      <c r="A39" s="115" t="s">
        <v>157</v>
      </c>
      <c r="B39" s="116">
        <f aca="true" t="shared" si="4" ref="B39:N39">SUM(B40:B50)</f>
        <v>110.16665599999999</v>
      </c>
      <c r="C39" s="116">
        <f t="shared" si="4"/>
        <v>115.008511</v>
      </c>
      <c r="D39" s="116">
        <f t="shared" si="4"/>
        <v>99.58440399999999</v>
      </c>
      <c r="E39" s="116">
        <f t="shared" si="4"/>
        <v>98.56768799999999</v>
      </c>
      <c r="F39" s="116">
        <f t="shared" si="4"/>
        <v>108.556982</v>
      </c>
      <c r="G39" s="116">
        <f t="shared" si="4"/>
        <v>98.095932</v>
      </c>
      <c r="H39" s="116">
        <f t="shared" si="4"/>
        <v>96.94102000000001</v>
      </c>
      <c r="I39" s="116">
        <f t="shared" si="4"/>
        <v>95.872938</v>
      </c>
      <c r="J39" s="116">
        <f t="shared" si="4"/>
        <v>107.84758000000001</v>
      </c>
      <c r="K39" s="116">
        <f t="shared" si="4"/>
        <v>109.399088</v>
      </c>
      <c r="L39" s="116">
        <f t="shared" si="4"/>
        <v>120.442956</v>
      </c>
      <c r="M39" s="116">
        <f t="shared" si="4"/>
        <v>111.46429499999999</v>
      </c>
      <c r="N39" s="136">
        <f t="shared" si="4"/>
        <v>1271.94805</v>
      </c>
    </row>
    <row r="40" spans="1:15" ht="12.75">
      <c r="A40" s="35" t="s">
        <v>132</v>
      </c>
      <c r="B40" s="112">
        <f>'расходы на корма'!X16</f>
        <v>41.328244</v>
      </c>
      <c r="C40" s="113">
        <f>'расходы на корма'!X18</f>
        <v>45.055183</v>
      </c>
      <c r="D40" s="113">
        <f>'расходы на корма'!X19</f>
        <v>31.284396</v>
      </c>
      <c r="E40" s="113">
        <f>'расходы на корма'!X20</f>
        <v>30.181848</v>
      </c>
      <c r="F40" s="112">
        <f>'расходы на корма'!X21</f>
        <v>30.14781</v>
      </c>
      <c r="G40" s="113">
        <f>'расходы на корма'!X22</f>
        <v>29.563428</v>
      </c>
      <c r="H40" s="112">
        <f>'расходы на корма'!X23</f>
        <v>28.385184000000002</v>
      </c>
      <c r="I40" s="112">
        <f>'расходы на корма'!X24</f>
        <v>27.19377</v>
      </c>
      <c r="J40" s="112">
        <f>'расходы на корма'!X25</f>
        <v>37.92176</v>
      </c>
      <c r="K40" s="112">
        <f>'расходы на корма'!X26</f>
        <v>39.435772</v>
      </c>
      <c r="L40" s="112">
        <f>'расходы на корма'!X27</f>
        <v>40.304643999999996</v>
      </c>
      <c r="M40" s="112">
        <f>'расходы на корма'!X28</f>
        <v>41.321127</v>
      </c>
      <c r="N40" s="137">
        <f aca="true" t="shared" si="5" ref="N40:N49">SUM(B40:M40)</f>
        <v>422.12316599999997</v>
      </c>
      <c r="O40" s="12"/>
    </row>
    <row r="41" spans="1:14" ht="12.75">
      <c r="A41" s="2" t="s">
        <v>133</v>
      </c>
      <c r="B41" s="101">
        <f>'расходы на корма'!AD16</f>
        <v>9.3675</v>
      </c>
      <c r="C41" s="102">
        <f>'расходы на корма'!AD18</f>
        <v>9.665</v>
      </c>
      <c r="D41" s="102">
        <f>'расходы на корма'!AD19</f>
        <v>8.07</v>
      </c>
      <c r="E41" s="102">
        <f>'расходы на корма'!AD20</f>
        <v>8.15</v>
      </c>
      <c r="F41" s="101">
        <f>'расходы на корма'!AD21</f>
        <v>8.1675</v>
      </c>
      <c r="G41" s="102">
        <f>'расходы на корма'!AD22</f>
        <v>8.285</v>
      </c>
      <c r="H41" s="101">
        <f>'расходы на корма'!AD23</f>
        <v>8.3025</v>
      </c>
      <c r="I41" s="101">
        <f>'расходы на корма'!AD24</f>
        <v>8.42</v>
      </c>
      <c r="J41" s="101">
        <f>'расходы на корма'!AD25</f>
        <v>9.6025</v>
      </c>
      <c r="K41" s="101">
        <f>'расходы на корма'!AD26</f>
        <v>9.6225</v>
      </c>
      <c r="L41" s="101">
        <f>'расходы на корма'!AD27</f>
        <v>9.78</v>
      </c>
      <c r="M41" s="101">
        <f>'расходы на корма'!AD28</f>
        <v>9.7625</v>
      </c>
      <c r="N41" s="138">
        <f t="shared" si="5"/>
        <v>107.19500000000001</v>
      </c>
    </row>
    <row r="42" spans="1:14" ht="12.75">
      <c r="A42" s="2" t="s">
        <v>134</v>
      </c>
      <c r="B42" s="101">
        <v>5</v>
      </c>
      <c r="C42" s="102">
        <v>5</v>
      </c>
      <c r="D42" s="102">
        <v>5</v>
      </c>
      <c r="E42" s="102">
        <v>5</v>
      </c>
      <c r="F42" s="101">
        <v>5</v>
      </c>
      <c r="G42" s="102">
        <v>5</v>
      </c>
      <c r="H42" s="101">
        <v>5</v>
      </c>
      <c r="I42" s="101">
        <v>5</v>
      </c>
      <c r="J42" s="101">
        <v>5</v>
      </c>
      <c r="K42" s="101">
        <v>5</v>
      </c>
      <c r="L42" s="101">
        <v>5</v>
      </c>
      <c r="M42" s="101">
        <v>5</v>
      </c>
      <c r="N42" s="138">
        <f t="shared" si="5"/>
        <v>60</v>
      </c>
    </row>
    <row r="43" spans="1:14" ht="12.75">
      <c r="A43" s="2" t="s">
        <v>135</v>
      </c>
      <c r="B43" s="101">
        <v>0</v>
      </c>
      <c r="C43" s="102">
        <v>0</v>
      </c>
      <c r="D43" s="102">
        <v>0</v>
      </c>
      <c r="E43" s="102">
        <v>0</v>
      </c>
      <c r="F43" s="101">
        <v>10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10</v>
      </c>
      <c r="M43" s="101">
        <v>0</v>
      </c>
      <c r="N43" s="138">
        <f t="shared" si="5"/>
        <v>20</v>
      </c>
    </row>
    <row r="44" spans="1:14" ht="12.75">
      <c r="A44" s="2" t="s">
        <v>136</v>
      </c>
      <c r="B44" s="101">
        <v>9</v>
      </c>
      <c r="C44" s="102">
        <v>9.45</v>
      </c>
      <c r="D44" s="102">
        <v>9.45</v>
      </c>
      <c r="E44" s="102">
        <v>9.45</v>
      </c>
      <c r="F44" s="101">
        <v>9.45</v>
      </c>
      <c r="G44" s="101">
        <v>9.45</v>
      </c>
      <c r="H44" s="101">
        <v>9.45</v>
      </c>
      <c r="I44" s="101">
        <v>9.45</v>
      </c>
      <c r="J44" s="101">
        <v>9.45</v>
      </c>
      <c r="K44" s="101">
        <v>9.45</v>
      </c>
      <c r="L44" s="101">
        <v>9.45</v>
      </c>
      <c r="M44" s="101">
        <v>9.45</v>
      </c>
      <c r="N44" s="138">
        <f t="shared" si="5"/>
        <v>112.95000000000002</v>
      </c>
    </row>
    <row r="45" spans="1:14" ht="12.75">
      <c r="A45" s="2" t="s">
        <v>114</v>
      </c>
      <c r="B45" s="101">
        <f>'расходы на корма'!AA16</f>
        <v>3.3009120000000003</v>
      </c>
      <c r="C45" s="102">
        <f>'расходы на корма'!AA18</f>
        <v>3.668328</v>
      </c>
      <c r="D45" s="102">
        <f>'расходы на корма'!AA19</f>
        <v>3.610008</v>
      </c>
      <c r="E45" s="102">
        <f>'расходы на корма'!AA20</f>
        <v>3.61584</v>
      </c>
      <c r="F45" s="101">
        <f>'расходы на корма'!AA21</f>
        <v>3.6216720000000002</v>
      </c>
      <c r="G45" s="102">
        <f>'расходы на корма'!AA22</f>
        <v>3.6275040000000005</v>
      </c>
      <c r="H45" s="101">
        <f>'расходы на корма'!AA23</f>
        <v>3.6333360000000003</v>
      </c>
      <c r="I45" s="101">
        <f>'расходы на корма'!AA24</f>
        <v>3.639168</v>
      </c>
      <c r="J45" s="101">
        <f>'расходы на корма'!AA25</f>
        <v>3.70332</v>
      </c>
      <c r="K45" s="101">
        <f>'расходы на корма'!AA26</f>
        <v>3.720816</v>
      </c>
      <c r="L45" s="101">
        <f>'расходы на корма'!AA27</f>
        <v>3.7383120000000005</v>
      </c>
      <c r="M45" s="101">
        <f>'расходы на корма'!AA28</f>
        <v>3.760668</v>
      </c>
      <c r="N45" s="138">
        <f t="shared" si="5"/>
        <v>43.63988400000001</v>
      </c>
    </row>
    <row r="46" spans="1:14" ht="12.75">
      <c r="A46" s="2" t="s">
        <v>137</v>
      </c>
      <c r="B46" s="101">
        <v>30</v>
      </c>
      <c r="C46" s="102">
        <v>30</v>
      </c>
      <c r="D46" s="102">
        <v>30</v>
      </c>
      <c r="E46" s="102">
        <v>30</v>
      </c>
      <c r="F46" s="101">
        <v>30</v>
      </c>
      <c r="G46" s="101">
        <v>30</v>
      </c>
      <c r="H46" s="101">
        <v>30</v>
      </c>
      <c r="I46" s="101">
        <v>30</v>
      </c>
      <c r="J46" s="101">
        <v>30</v>
      </c>
      <c r="K46" s="101">
        <v>30</v>
      </c>
      <c r="L46" s="101">
        <v>30</v>
      </c>
      <c r="M46" s="101">
        <v>30</v>
      </c>
      <c r="N46" s="138">
        <f t="shared" si="5"/>
        <v>360</v>
      </c>
    </row>
    <row r="47" spans="1:14" ht="12.75">
      <c r="A47" s="2" t="s">
        <v>138</v>
      </c>
      <c r="B47" s="101">
        <v>1</v>
      </c>
      <c r="C47" s="102">
        <v>1</v>
      </c>
      <c r="D47" s="102">
        <v>1</v>
      </c>
      <c r="E47" s="102">
        <v>1</v>
      </c>
      <c r="F47" s="101">
        <v>1</v>
      </c>
      <c r="G47" s="101">
        <v>1</v>
      </c>
      <c r="H47" s="101">
        <v>1</v>
      </c>
      <c r="I47" s="101">
        <v>1</v>
      </c>
      <c r="J47" s="101">
        <v>1</v>
      </c>
      <c r="K47" s="101">
        <v>1</v>
      </c>
      <c r="L47" s="101">
        <v>1</v>
      </c>
      <c r="M47" s="101">
        <v>1</v>
      </c>
      <c r="N47" s="138">
        <f t="shared" si="5"/>
        <v>12</v>
      </c>
    </row>
    <row r="48" spans="1:14" ht="12.75">
      <c r="A48" s="2" t="s">
        <v>139</v>
      </c>
      <c r="B48" s="101">
        <v>10</v>
      </c>
      <c r="C48" s="102">
        <v>10</v>
      </c>
      <c r="D48" s="102">
        <v>10</v>
      </c>
      <c r="E48" s="102">
        <v>10</v>
      </c>
      <c r="F48" s="101">
        <v>10</v>
      </c>
      <c r="G48" s="101">
        <v>10</v>
      </c>
      <c r="H48" s="101">
        <v>10</v>
      </c>
      <c r="I48" s="101">
        <v>10</v>
      </c>
      <c r="J48" s="101">
        <v>10</v>
      </c>
      <c r="K48" s="101">
        <v>10</v>
      </c>
      <c r="L48" s="101">
        <v>10</v>
      </c>
      <c r="M48" s="101">
        <v>10</v>
      </c>
      <c r="N48" s="138">
        <f t="shared" si="5"/>
        <v>120</v>
      </c>
    </row>
    <row r="49" spans="1:14" ht="12.75">
      <c r="A49" s="2" t="s">
        <v>151</v>
      </c>
      <c r="B49" s="101">
        <v>1.17</v>
      </c>
      <c r="C49" s="102">
        <v>1.17</v>
      </c>
      <c r="D49" s="102">
        <v>1.17</v>
      </c>
      <c r="E49" s="102">
        <v>1.17</v>
      </c>
      <c r="F49" s="101">
        <v>1.17</v>
      </c>
      <c r="G49" s="101">
        <v>1.17</v>
      </c>
      <c r="H49" s="101">
        <v>1.17</v>
      </c>
      <c r="I49" s="101">
        <v>1.17</v>
      </c>
      <c r="J49" s="101">
        <v>1.17</v>
      </c>
      <c r="K49" s="101">
        <v>1.17</v>
      </c>
      <c r="L49" s="101">
        <v>1.17</v>
      </c>
      <c r="M49" s="101">
        <v>1.17</v>
      </c>
      <c r="N49" s="138">
        <f t="shared" si="5"/>
        <v>14.04</v>
      </c>
    </row>
    <row r="50" spans="1:14" ht="12.75">
      <c r="A50" s="2" t="s">
        <v>140</v>
      </c>
      <c r="B50" s="101"/>
      <c r="C50" s="102"/>
      <c r="D50" s="102"/>
      <c r="E50" s="102"/>
      <c r="F50" s="101"/>
      <c r="G50" s="101"/>
      <c r="H50" s="101"/>
      <c r="I50" s="102"/>
      <c r="J50" s="101"/>
      <c r="K50" s="101"/>
      <c r="L50" s="101"/>
      <c r="M50" s="101"/>
      <c r="N50" s="138"/>
    </row>
    <row r="51" spans="1:14" ht="15.75">
      <c r="A51" s="78" t="s">
        <v>155</v>
      </c>
      <c r="B51" s="101"/>
      <c r="C51" s="102"/>
      <c r="D51" s="102"/>
      <c r="E51" s="102"/>
      <c r="F51" s="101"/>
      <c r="G51" s="101"/>
      <c r="H51" s="101"/>
      <c r="I51" s="102"/>
      <c r="J51" s="101"/>
      <c r="K51" s="101"/>
      <c r="L51" s="101"/>
      <c r="M51" s="101"/>
      <c r="N51" s="138"/>
    </row>
    <row r="52" spans="1:14" ht="12.75">
      <c r="A52" s="2" t="s">
        <v>159</v>
      </c>
      <c r="B52" s="101">
        <f>'Производство продукции'!J40</f>
        <v>881.28</v>
      </c>
      <c r="C52" s="102">
        <f>'Производство продукции'!J48</f>
        <v>899.64</v>
      </c>
      <c r="D52" s="102">
        <f>'Производство продукции'!J57</f>
        <v>853.74</v>
      </c>
      <c r="E52" s="102">
        <f>'Производство продукции'!J66</f>
        <v>798.66</v>
      </c>
      <c r="F52" s="101">
        <f>'Производство продукции'!J75</f>
        <v>734.4</v>
      </c>
      <c r="G52" s="102">
        <f>'Производство продукции'!J85</f>
        <v>618.12</v>
      </c>
      <c r="H52" s="101">
        <f>'Производство продукции'!J95</f>
        <v>511.02</v>
      </c>
      <c r="I52" s="101">
        <f>'Производство продукции'!J104</f>
        <v>498.78</v>
      </c>
      <c r="J52" s="101">
        <f>'Производство продукции'!J113</f>
        <v>526.32</v>
      </c>
      <c r="K52" s="101">
        <f>'Производство продукции'!J122</f>
        <v>563.04</v>
      </c>
      <c r="L52" s="101">
        <f>'Производство продукции'!J131</f>
        <v>612</v>
      </c>
      <c r="M52" s="101">
        <f>'Производство продукции'!J140</f>
        <v>654.84</v>
      </c>
      <c r="N52" s="138">
        <f aca="true" t="shared" si="6" ref="N52:N57">SUM(B52:M52)</f>
        <v>8151.839999999998</v>
      </c>
    </row>
    <row r="53" spans="1:14" ht="12.75">
      <c r="A53" s="2" t="s">
        <v>148</v>
      </c>
      <c r="B53" s="101">
        <f>'Производство продукции'!M30</f>
        <v>30</v>
      </c>
      <c r="C53" s="102">
        <v>0</v>
      </c>
      <c r="D53" s="102">
        <f>'Производство продукции'!M48</f>
        <v>0</v>
      </c>
      <c r="E53" s="102">
        <f>'Производство продукции'!M57</f>
        <v>0</v>
      </c>
      <c r="F53" s="101">
        <f>'Производство продукции'!M66</f>
        <v>0</v>
      </c>
      <c r="G53" s="102">
        <v>0</v>
      </c>
      <c r="H53" s="101">
        <v>0</v>
      </c>
      <c r="I53" s="101">
        <f>'Производство продукции'!M104</f>
        <v>20</v>
      </c>
      <c r="J53" s="101">
        <f>'Производство продукции'!M104</f>
        <v>20</v>
      </c>
      <c r="K53" s="101">
        <f>'Производство продукции'!M113</f>
        <v>20</v>
      </c>
      <c r="L53" s="101">
        <f>'Производство продукции'!M122</f>
        <v>20</v>
      </c>
      <c r="M53" s="101">
        <f>'Производство продукции'!M131</f>
        <v>20</v>
      </c>
      <c r="N53" s="138">
        <f t="shared" si="6"/>
        <v>130</v>
      </c>
    </row>
    <row r="54" spans="1:14" ht="12.75">
      <c r="A54" s="2" t="s">
        <v>141</v>
      </c>
      <c r="B54" s="101">
        <v>0</v>
      </c>
      <c r="C54" s="102">
        <v>0</v>
      </c>
      <c r="D54" s="102">
        <v>0</v>
      </c>
      <c r="E54" s="102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38">
        <f t="shared" si="6"/>
        <v>0</v>
      </c>
    </row>
    <row r="55" spans="1:14" ht="13.5" thickBot="1">
      <c r="A55" s="108" t="s">
        <v>160</v>
      </c>
      <c r="B55" s="109">
        <v>0</v>
      </c>
      <c r="C55" s="110">
        <v>0</v>
      </c>
      <c r="D55" s="110">
        <v>0</v>
      </c>
      <c r="E55" s="110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09">
        <v>0</v>
      </c>
      <c r="L55" s="109">
        <v>0</v>
      </c>
      <c r="M55" s="109">
        <v>0</v>
      </c>
      <c r="N55" s="139">
        <f t="shared" si="6"/>
        <v>0</v>
      </c>
    </row>
    <row r="56" spans="1:15" ht="16.5" thickBot="1">
      <c r="A56" s="115" t="s">
        <v>142</v>
      </c>
      <c r="B56" s="122">
        <f aca="true" t="shared" si="7" ref="B56:M56">SUM(B52:B55)</f>
        <v>911.28</v>
      </c>
      <c r="C56" s="122">
        <f t="shared" si="7"/>
        <v>899.64</v>
      </c>
      <c r="D56" s="122">
        <f t="shared" si="7"/>
        <v>853.74</v>
      </c>
      <c r="E56" s="122">
        <f t="shared" si="7"/>
        <v>798.66</v>
      </c>
      <c r="F56" s="122">
        <f t="shared" si="7"/>
        <v>734.4</v>
      </c>
      <c r="G56" s="122">
        <f t="shared" si="7"/>
        <v>618.12</v>
      </c>
      <c r="H56" s="122">
        <f t="shared" si="7"/>
        <v>511.02</v>
      </c>
      <c r="I56" s="122">
        <f t="shared" si="7"/>
        <v>518.78</v>
      </c>
      <c r="J56" s="122">
        <f t="shared" si="7"/>
        <v>546.32</v>
      </c>
      <c r="K56" s="122">
        <f t="shared" si="7"/>
        <v>583.04</v>
      </c>
      <c r="L56" s="122">
        <f t="shared" si="7"/>
        <v>632</v>
      </c>
      <c r="M56" s="122">
        <f t="shared" si="7"/>
        <v>674.84</v>
      </c>
      <c r="N56" s="136">
        <f t="shared" si="6"/>
        <v>8281.839999999998</v>
      </c>
      <c r="O56" s="91"/>
    </row>
    <row r="57" spans="1:15" ht="15.75">
      <c r="A57" s="147" t="s">
        <v>172</v>
      </c>
      <c r="B57" s="112">
        <v>124.54</v>
      </c>
      <c r="C57" s="112">
        <v>124.54</v>
      </c>
      <c r="D57" s="112">
        <v>124.54</v>
      </c>
      <c r="E57" s="112">
        <v>124.54</v>
      </c>
      <c r="F57" s="112">
        <v>124.54</v>
      </c>
      <c r="G57" s="112">
        <v>124.54</v>
      </c>
      <c r="H57" s="112">
        <v>124.54</v>
      </c>
      <c r="I57" s="112">
        <v>124.54</v>
      </c>
      <c r="J57" s="112">
        <v>124.54</v>
      </c>
      <c r="K57" s="112">
        <v>124.54</v>
      </c>
      <c r="L57" s="112">
        <v>124.54</v>
      </c>
      <c r="M57" s="112">
        <v>124.54</v>
      </c>
      <c r="N57" s="148">
        <f t="shared" si="6"/>
        <v>1494.4799999999998</v>
      </c>
      <c r="O57" s="91"/>
    </row>
    <row r="58" spans="1:15" ht="13.5" thickBot="1">
      <c r="A58" s="149" t="s">
        <v>170</v>
      </c>
      <c r="B58" s="109">
        <f>(B56-B38-B57)*6%</f>
        <v>47.2044</v>
      </c>
      <c r="C58" s="109">
        <f>(C56-C38-C57)*6%</f>
        <v>46.506</v>
      </c>
      <c r="D58" s="109">
        <f>(D56-D38-D57)*6%</f>
        <v>43.752</v>
      </c>
      <c r="E58" s="109">
        <f aca="true" t="shared" si="8" ref="E58:M58">(E56-E38-E57)*6%</f>
        <v>40.4472</v>
      </c>
      <c r="F58" s="109">
        <f t="shared" si="8"/>
        <v>36.5916</v>
      </c>
      <c r="G58" s="109">
        <f t="shared" si="8"/>
        <v>29.6148</v>
      </c>
      <c r="H58" s="109">
        <f t="shared" si="8"/>
        <v>23.188799999999997</v>
      </c>
      <c r="I58" s="109">
        <f t="shared" si="8"/>
        <v>23.654399999999995</v>
      </c>
      <c r="J58" s="109">
        <f t="shared" si="8"/>
        <v>25.3068</v>
      </c>
      <c r="K58" s="109">
        <f t="shared" si="8"/>
        <v>27.509999999999994</v>
      </c>
      <c r="L58" s="109">
        <f t="shared" si="8"/>
        <v>30.447599999999998</v>
      </c>
      <c r="M58" s="109">
        <f t="shared" si="8"/>
        <v>33.018</v>
      </c>
      <c r="N58" s="139">
        <f>SUM(B58:M58)</f>
        <v>407.24160000000006</v>
      </c>
      <c r="O58" s="91"/>
    </row>
    <row r="59" spans="1:15" ht="15.75" thickBot="1">
      <c r="A59" s="115" t="s">
        <v>171</v>
      </c>
      <c r="B59" s="121">
        <f>B56-B39-B57-B58</f>
        <v>629.368944</v>
      </c>
      <c r="C59" s="121">
        <f aca="true" t="shared" si="9" ref="C59:M59">C56-C39-C57-C58</f>
        <v>613.585489</v>
      </c>
      <c r="D59" s="121">
        <f t="shared" si="9"/>
        <v>585.8635960000001</v>
      </c>
      <c r="E59" s="121">
        <f t="shared" si="9"/>
        <v>535.1051120000001</v>
      </c>
      <c r="F59" s="121">
        <f t="shared" si="9"/>
        <v>464.711418</v>
      </c>
      <c r="G59" s="121">
        <f t="shared" si="9"/>
        <v>365.8692679999999</v>
      </c>
      <c r="H59" s="121">
        <f t="shared" si="9"/>
        <v>266.35017999999997</v>
      </c>
      <c r="I59" s="121">
        <f t="shared" si="9"/>
        <v>274.71266199999997</v>
      </c>
      <c r="J59" s="121">
        <f t="shared" si="9"/>
        <v>288.62562</v>
      </c>
      <c r="K59" s="121">
        <f t="shared" si="9"/>
        <v>321.59091199999995</v>
      </c>
      <c r="L59" s="121">
        <f t="shared" si="9"/>
        <v>356.569444</v>
      </c>
      <c r="M59" s="121">
        <f t="shared" si="9"/>
        <v>405.81770500000005</v>
      </c>
      <c r="N59" s="150">
        <f>SUM(B59:M59)</f>
        <v>5108.170349999999</v>
      </c>
      <c r="O59" s="91"/>
    </row>
    <row r="60" spans="1:15" ht="15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236"/>
      <c r="O60" s="91"/>
    </row>
    <row r="61" spans="1:15" ht="15">
      <c r="A61" s="402" t="s">
        <v>248</v>
      </c>
      <c r="B61" s="402"/>
      <c r="C61" s="402"/>
      <c r="D61" s="402"/>
      <c r="E61" s="402"/>
      <c r="F61" s="135"/>
      <c r="G61" s="135"/>
      <c r="H61" s="135"/>
      <c r="I61" s="135"/>
      <c r="J61" s="135"/>
      <c r="K61" s="135"/>
      <c r="L61" s="135"/>
      <c r="M61" s="135"/>
      <c r="N61" s="236"/>
      <c r="O61" s="91"/>
    </row>
    <row r="62" spans="2:14" ht="12.75"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40"/>
    </row>
    <row r="63" spans="1:14" ht="12.75" customHeight="1">
      <c r="A63" s="77"/>
      <c r="B63" s="403" t="s">
        <v>144</v>
      </c>
      <c r="C63" s="404"/>
      <c r="D63" s="404"/>
      <c r="E63" s="404"/>
      <c r="F63" s="404"/>
      <c r="G63" s="404"/>
      <c r="H63" s="404"/>
      <c r="I63" s="404"/>
      <c r="J63" s="404"/>
      <c r="K63" s="404"/>
      <c r="L63" s="404"/>
      <c r="M63" s="405"/>
      <c r="N63" s="406" t="s">
        <v>288</v>
      </c>
    </row>
    <row r="64" spans="1:14" ht="12.75">
      <c r="A64" s="77" t="s">
        <v>154</v>
      </c>
      <c r="B64" s="106">
        <v>1</v>
      </c>
      <c r="C64" s="107">
        <v>2</v>
      </c>
      <c r="D64" s="107">
        <v>3</v>
      </c>
      <c r="E64" s="107">
        <v>4</v>
      </c>
      <c r="F64" s="106">
        <v>5</v>
      </c>
      <c r="G64" s="106">
        <v>6</v>
      </c>
      <c r="H64" s="106">
        <v>7</v>
      </c>
      <c r="I64" s="107">
        <v>8</v>
      </c>
      <c r="J64" s="106">
        <v>9</v>
      </c>
      <c r="K64" s="106">
        <v>10</v>
      </c>
      <c r="L64" s="106">
        <v>11</v>
      </c>
      <c r="M64" s="106">
        <v>12</v>
      </c>
      <c r="N64" s="407"/>
    </row>
    <row r="65" spans="1:14" ht="15.75">
      <c r="A65" s="78" t="s">
        <v>156</v>
      </c>
      <c r="B65" s="101"/>
      <c r="C65" s="102"/>
      <c r="D65" s="102"/>
      <c r="E65" s="102"/>
      <c r="F65" s="101"/>
      <c r="G65" s="101"/>
      <c r="H65" s="101"/>
      <c r="I65" s="102"/>
      <c r="J65" s="101"/>
      <c r="K65" s="101"/>
      <c r="L65" s="101"/>
      <c r="M65" s="101"/>
      <c r="N65" s="138"/>
    </row>
    <row r="66" spans="1:14" ht="15.75">
      <c r="A66" s="75" t="s">
        <v>157</v>
      </c>
      <c r="B66" s="100">
        <f aca="true" t="shared" si="10" ref="B66:M66">SUM(B67:B77)</f>
        <v>112.70740199999999</v>
      </c>
      <c r="C66" s="100">
        <f t="shared" si="10"/>
        <v>113.909289</v>
      </c>
      <c r="D66" s="100">
        <f t="shared" si="10"/>
        <v>115.111176</v>
      </c>
      <c r="E66" s="100">
        <f t="shared" si="10"/>
        <v>116.138063</v>
      </c>
      <c r="F66" s="100">
        <f t="shared" si="10"/>
        <v>127.79611000000001</v>
      </c>
      <c r="G66" s="100">
        <f t="shared" si="10"/>
        <v>119.571997</v>
      </c>
      <c r="H66" s="100">
        <f t="shared" si="10"/>
        <v>108.031624</v>
      </c>
      <c r="I66" s="100">
        <f t="shared" si="10"/>
        <v>107.13938500000002</v>
      </c>
      <c r="J66" s="100">
        <f t="shared" si="10"/>
        <v>117.980679</v>
      </c>
      <c r="K66" s="100">
        <f t="shared" si="10"/>
        <v>118.509143</v>
      </c>
      <c r="L66" s="100">
        <f t="shared" si="10"/>
        <v>132.29282899999998</v>
      </c>
      <c r="M66" s="100">
        <f t="shared" si="10"/>
        <v>122.433886</v>
      </c>
      <c r="N66" s="141">
        <f aca="true" t="shared" si="11" ref="N66:N76">SUM(B66:M66)</f>
        <v>1411.621583</v>
      </c>
    </row>
    <row r="67" spans="1:15" ht="12.75">
      <c r="A67" s="2" t="s">
        <v>132</v>
      </c>
      <c r="B67" s="101">
        <f>'расходы на корма'!X29</f>
        <v>42.496877999999995</v>
      </c>
      <c r="C67" s="102">
        <f>'расходы на корма'!X31</f>
        <v>43.681408999999995</v>
      </c>
      <c r="D67" s="102">
        <f>'расходы на корма'!X32</f>
        <v>44.655524</v>
      </c>
      <c r="E67" s="102">
        <f>'расходы на корма'!X33</f>
        <v>45.629639</v>
      </c>
      <c r="F67" s="101">
        <f>'расходы на корма'!X34</f>
        <v>47.109913999999996</v>
      </c>
      <c r="G67" s="102">
        <f>'расходы на корма'!X35</f>
        <v>48.712889</v>
      </c>
      <c r="H67" s="101">
        <f>'расходы на корма'!X36</f>
        <v>38.465424</v>
      </c>
      <c r="I67" s="101">
        <f>'расходы на корма'!X37</f>
        <v>37.431937000000005</v>
      </c>
      <c r="J67" s="101">
        <f>'расходы на корма'!X38</f>
        <v>47.149635</v>
      </c>
      <c r="K67" s="101">
        <f>'расходы на корма'!X39</f>
        <v>47.518659</v>
      </c>
      <c r="L67" s="101">
        <f>'расходы на корма'!X40</f>
        <v>50.737089</v>
      </c>
      <c r="M67" s="101">
        <f>'расходы на корма'!X41</f>
        <v>50.632146</v>
      </c>
      <c r="N67" s="138">
        <f t="shared" si="11"/>
        <v>544.221143</v>
      </c>
      <c r="O67" s="12"/>
    </row>
    <row r="68" spans="1:14" ht="12.75">
      <c r="A68" s="2" t="s">
        <v>133</v>
      </c>
      <c r="B68" s="101">
        <f>'расходы на корма'!AD29</f>
        <v>9.8075</v>
      </c>
      <c r="C68" s="102">
        <f>'расходы на корма'!AD31</f>
        <v>9.8025</v>
      </c>
      <c r="D68" s="102">
        <f>'расходы на корма'!AD32</f>
        <v>10.005</v>
      </c>
      <c r="E68" s="102">
        <f>'расходы на корма'!AD33</f>
        <v>10.0325</v>
      </c>
      <c r="F68" s="101">
        <f>'расходы на корма'!AD34</f>
        <v>10.185</v>
      </c>
      <c r="G68" s="102">
        <f>'расходы на корма'!AD35</f>
        <v>10.3375</v>
      </c>
      <c r="H68" s="101">
        <f>'расходы на корма'!AD36</f>
        <v>9.0825</v>
      </c>
      <c r="I68" s="101">
        <f>'расходы на корма'!AD37</f>
        <v>9.215</v>
      </c>
      <c r="J68" s="101">
        <f>'расходы на корма'!AD38</f>
        <v>10.2725</v>
      </c>
      <c r="K68" s="101">
        <f>'расходы на корма'!AD39</f>
        <v>10.4125</v>
      </c>
      <c r="L68" s="101">
        <f>'расходы на корма'!AD40</f>
        <v>10.8825</v>
      </c>
      <c r="M68" s="101">
        <f>'расходы на корма'!AD41</f>
        <v>11.0475</v>
      </c>
      <c r="N68" s="138">
        <f t="shared" si="11"/>
        <v>121.0825</v>
      </c>
    </row>
    <row r="69" spans="1:14" ht="12.75">
      <c r="A69" s="2" t="s">
        <v>134</v>
      </c>
      <c r="B69" s="101">
        <v>5</v>
      </c>
      <c r="C69" s="102">
        <v>5</v>
      </c>
      <c r="D69" s="102">
        <v>5</v>
      </c>
      <c r="E69" s="102">
        <v>5</v>
      </c>
      <c r="F69" s="101">
        <v>5</v>
      </c>
      <c r="G69" s="101">
        <v>5</v>
      </c>
      <c r="H69" s="101">
        <v>5</v>
      </c>
      <c r="I69" s="101">
        <v>5</v>
      </c>
      <c r="J69" s="101">
        <v>5</v>
      </c>
      <c r="K69" s="101">
        <v>5</v>
      </c>
      <c r="L69" s="101">
        <v>5</v>
      </c>
      <c r="M69" s="101">
        <v>5</v>
      </c>
      <c r="N69" s="138">
        <f t="shared" si="11"/>
        <v>60</v>
      </c>
    </row>
    <row r="70" spans="1:14" ht="12.75">
      <c r="A70" s="2" t="s">
        <v>135</v>
      </c>
      <c r="B70" s="101">
        <v>0</v>
      </c>
      <c r="C70" s="102">
        <v>0</v>
      </c>
      <c r="D70" s="102">
        <v>0</v>
      </c>
      <c r="E70" s="102">
        <v>0</v>
      </c>
      <c r="F70" s="101">
        <v>10</v>
      </c>
      <c r="G70" s="101">
        <v>0</v>
      </c>
      <c r="H70" s="101">
        <v>0</v>
      </c>
      <c r="I70" s="101">
        <v>0</v>
      </c>
      <c r="J70" s="101">
        <v>0</v>
      </c>
      <c r="K70" s="101">
        <v>0</v>
      </c>
      <c r="L70" s="101">
        <v>10</v>
      </c>
      <c r="M70" s="101">
        <v>0</v>
      </c>
      <c r="N70" s="138">
        <f t="shared" si="11"/>
        <v>20</v>
      </c>
    </row>
    <row r="71" spans="1:14" ht="12.75">
      <c r="A71" s="2" t="s">
        <v>136</v>
      </c>
      <c r="B71" s="101">
        <v>9.45</v>
      </c>
      <c r="C71" s="102">
        <v>9.45</v>
      </c>
      <c r="D71" s="102">
        <v>9.45</v>
      </c>
      <c r="E71" s="102">
        <v>9.45</v>
      </c>
      <c r="F71" s="101">
        <v>9.45</v>
      </c>
      <c r="G71" s="101">
        <v>9.45</v>
      </c>
      <c r="H71" s="101">
        <v>9.45</v>
      </c>
      <c r="I71" s="101">
        <v>9.45</v>
      </c>
      <c r="J71" s="101">
        <v>9.45</v>
      </c>
      <c r="K71" s="101">
        <v>9.45</v>
      </c>
      <c r="L71" s="101">
        <v>9.45</v>
      </c>
      <c r="M71" s="101">
        <v>9.45</v>
      </c>
      <c r="N71" s="138">
        <f t="shared" si="11"/>
        <v>113.40000000000002</v>
      </c>
    </row>
    <row r="72" spans="1:14" ht="12.75">
      <c r="A72" s="2" t="s">
        <v>114</v>
      </c>
      <c r="B72" s="101">
        <f>'расходы на корма'!AA29</f>
        <v>3.783024</v>
      </c>
      <c r="C72" s="102">
        <f>'расходы на корма'!AA31</f>
        <v>3.80538</v>
      </c>
      <c r="D72" s="102">
        <f>'расходы на корма'!AA32</f>
        <v>3.830652</v>
      </c>
      <c r="E72" s="102">
        <f>'расходы на корма'!AA33</f>
        <v>3.855924</v>
      </c>
      <c r="F72" s="101">
        <f>'расходы на корма'!AA34</f>
        <v>3.8811960000000005</v>
      </c>
      <c r="G72" s="102">
        <f>'расходы на корма'!AA35</f>
        <v>3.901608</v>
      </c>
      <c r="H72" s="101">
        <f>'расходы на корма'!AA36</f>
        <v>3.8637</v>
      </c>
      <c r="I72" s="101">
        <f>'расходы на корма'!AA37</f>
        <v>3.8724480000000003</v>
      </c>
      <c r="J72" s="101">
        <f>'расходы на корма'!AA38</f>
        <v>3.9385440000000003</v>
      </c>
      <c r="K72" s="101">
        <f>'расходы на корма'!AA39</f>
        <v>3.957984</v>
      </c>
      <c r="L72" s="101">
        <f>'расходы на корма'!AA40</f>
        <v>4.053240000000001</v>
      </c>
      <c r="M72" s="101">
        <f>'расходы на корма'!AA41</f>
        <v>4.13424</v>
      </c>
      <c r="N72" s="138">
        <f t="shared" si="11"/>
        <v>46.87794000000001</v>
      </c>
    </row>
    <row r="73" spans="1:14" ht="12.75">
      <c r="A73" s="2" t="s">
        <v>137</v>
      </c>
      <c r="B73" s="101">
        <v>30</v>
      </c>
      <c r="C73" s="102">
        <v>30</v>
      </c>
      <c r="D73" s="102">
        <v>30</v>
      </c>
      <c r="E73" s="102">
        <v>30</v>
      </c>
      <c r="F73" s="101">
        <v>30</v>
      </c>
      <c r="G73" s="101">
        <v>30</v>
      </c>
      <c r="H73" s="101">
        <v>30</v>
      </c>
      <c r="I73" s="101">
        <v>30</v>
      </c>
      <c r="J73" s="101">
        <v>30</v>
      </c>
      <c r="K73" s="101">
        <v>30</v>
      </c>
      <c r="L73" s="101">
        <v>30</v>
      </c>
      <c r="M73" s="101">
        <v>30</v>
      </c>
      <c r="N73" s="138">
        <f t="shared" si="11"/>
        <v>360</v>
      </c>
    </row>
    <row r="74" spans="1:14" ht="12.75">
      <c r="A74" s="2" t="s">
        <v>138</v>
      </c>
      <c r="B74" s="101">
        <v>1</v>
      </c>
      <c r="C74" s="102">
        <v>1</v>
      </c>
      <c r="D74" s="102">
        <v>1</v>
      </c>
      <c r="E74" s="102">
        <v>1</v>
      </c>
      <c r="F74" s="101">
        <v>1</v>
      </c>
      <c r="G74" s="101">
        <v>1</v>
      </c>
      <c r="H74" s="101">
        <v>1</v>
      </c>
      <c r="I74" s="101">
        <v>1</v>
      </c>
      <c r="J74" s="101">
        <v>1</v>
      </c>
      <c r="K74" s="101">
        <v>1</v>
      </c>
      <c r="L74" s="101">
        <v>1</v>
      </c>
      <c r="M74" s="101">
        <v>1</v>
      </c>
      <c r="N74" s="138">
        <f t="shared" si="11"/>
        <v>12</v>
      </c>
    </row>
    <row r="75" spans="1:14" ht="12.75">
      <c r="A75" s="2" t="s">
        <v>139</v>
      </c>
      <c r="B75" s="101">
        <v>10</v>
      </c>
      <c r="C75" s="102">
        <v>10</v>
      </c>
      <c r="D75" s="102">
        <v>10</v>
      </c>
      <c r="E75" s="102">
        <v>10</v>
      </c>
      <c r="F75" s="101">
        <v>10</v>
      </c>
      <c r="G75" s="101">
        <v>10</v>
      </c>
      <c r="H75" s="101">
        <v>10</v>
      </c>
      <c r="I75" s="101">
        <v>10</v>
      </c>
      <c r="J75" s="101">
        <v>10</v>
      </c>
      <c r="K75" s="101">
        <v>10</v>
      </c>
      <c r="L75" s="101">
        <v>10</v>
      </c>
      <c r="M75" s="101">
        <v>10</v>
      </c>
      <c r="N75" s="138">
        <f t="shared" si="11"/>
        <v>120</v>
      </c>
    </row>
    <row r="76" spans="1:14" ht="12.75">
      <c r="A76" s="2" t="s">
        <v>151</v>
      </c>
      <c r="B76" s="101">
        <v>1.17</v>
      </c>
      <c r="C76" s="102">
        <v>1.17</v>
      </c>
      <c r="D76" s="102">
        <v>1.17</v>
      </c>
      <c r="E76" s="102">
        <v>1.17</v>
      </c>
      <c r="F76" s="101">
        <v>1.17</v>
      </c>
      <c r="G76" s="101">
        <v>1.17</v>
      </c>
      <c r="H76" s="101">
        <v>1.17</v>
      </c>
      <c r="I76" s="101">
        <v>1.17</v>
      </c>
      <c r="J76" s="101">
        <v>1.17</v>
      </c>
      <c r="K76" s="101">
        <v>1.17</v>
      </c>
      <c r="L76" s="101">
        <v>1.17</v>
      </c>
      <c r="M76" s="101">
        <v>1.17</v>
      </c>
      <c r="N76" s="138">
        <f t="shared" si="11"/>
        <v>14.04</v>
      </c>
    </row>
    <row r="77" spans="1:14" ht="12.75">
      <c r="A77" s="2" t="s">
        <v>140</v>
      </c>
      <c r="B77" s="101"/>
      <c r="C77" s="102"/>
      <c r="D77" s="102"/>
      <c r="E77" s="102"/>
      <c r="F77" s="101"/>
      <c r="G77" s="101"/>
      <c r="H77" s="101"/>
      <c r="I77" s="102"/>
      <c r="J77" s="101"/>
      <c r="K77" s="101"/>
      <c r="L77" s="101"/>
      <c r="M77" s="101"/>
      <c r="N77" s="138"/>
    </row>
    <row r="78" spans="1:14" ht="15.75">
      <c r="A78" s="78" t="s">
        <v>155</v>
      </c>
      <c r="B78" s="101"/>
      <c r="C78" s="102"/>
      <c r="D78" s="102"/>
      <c r="E78" s="102"/>
      <c r="F78" s="101"/>
      <c r="G78" s="101"/>
      <c r="H78" s="101"/>
      <c r="I78" s="102"/>
      <c r="J78" s="101"/>
      <c r="K78" s="101"/>
      <c r="L78" s="101"/>
      <c r="M78" s="101"/>
      <c r="N78" s="138"/>
    </row>
    <row r="79" spans="1:14" ht="12.75">
      <c r="A79" s="2" t="s">
        <v>158</v>
      </c>
      <c r="B79" s="101">
        <f>'Производство продукции'!J152</f>
        <v>709.92</v>
      </c>
      <c r="C79" s="102">
        <f>'Производство продукции'!J161</f>
        <v>758.88</v>
      </c>
      <c r="D79" s="102">
        <f>'Производство продукции'!J171</f>
        <v>844.56</v>
      </c>
      <c r="E79" s="102">
        <f>'Производство продукции'!J182</f>
        <v>924.12</v>
      </c>
      <c r="F79" s="101">
        <f>'Производство продукции'!J194</f>
        <v>911.88</v>
      </c>
      <c r="G79" s="102">
        <f>'Производство продукции'!J206</f>
        <v>801.72</v>
      </c>
      <c r="H79" s="101">
        <f>'Производство продукции'!J218</f>
        <v>691.56</v>
      </c>
      <c r="I79" s="101">
        <f>'Производство продукции'!J230</f>
        <v>664.02</v>
      </c>
      <c r="J79" s="101">
        <f>'Производство продукции'!J242</f>
        <v>673.2</v>
      </c>
      <c r="K79" s="101">
        <f>'Производство продукции'!J255</f>
        <v>706.86</v>
      </c>
      <c r="L79" s="101">
        <f>'Производство продукции'!J269</f>
        <v>745.62</v>
      </c>
      <c r="M79" s="101">
        <f>'Производство продукции'!J284</f>
        <v>785.4</v>
      </c>
      <c r="N79" s="138">
        <f aca="true" t="shared" si="12" ref="N79:N86">SUM(B79:M79)</f>
        <v>9217.74</v>
      </c>
    </row>
    <row r="80" spans="1:14" ht="12.75">
      <c r="A80" s="2" t="s">
        <v>148</v>
      </c>
      <c r="B80" s="101">
        <f>'Производство продукции'!M140</f>
        <v>20</v>
      </c>
      <c r="C80" s="102">
        <f>'Производство продукции'!M152</f>
        <v>20</v>
      </c>
      <c r="D80" s="102">
        <f>'Производство продукции'!M161</f>
        <v>20</v>
      </c>
      <c r="E80" s="102">
        <f>'Производство продукции'!M171</f>
        <v>20</v>
      </c>
      <c r="F80" s="101">
        <v>0</v>
      </c>
      <c r="G80" s="102">
        <f>'Производство продукции'!M194</f>
        <v>0</v>
      </c>
      <c r="H80" s="101">
        <f>'Производство продукции'!M206</f>
        <v>0</v>
      </c>
      <c r="I80" s="101">
        <f>'Производство продукции'!M230</f>
        <v>16</v>
      </c>
      <c r="J80" s="101">
        <f>'Производство продукции'!M242</f>
        <v>16</v>
      </c>
      <c r="K80" s="101">
        <f>'Производство продукции'!M255</f>
        <v>22</v>
      </c>
      <c r="L80" s="101">
        <f>'Производство продукции'!M269</f>
        <v>22</v>
      </c>
      <c r="M80" s="101">
        <f>'Производство продукции'!M284</f>
        <v>22</v>
      </c>
      <c r="N80" s="138">
        <f t="shared" si="12"/>
        <v>178</v>
      </c>
    </row>
    <row r="81" spans="1:14" ht="12.75">
      <c r="A81" s="2" t="s">
        <v>141</v>
      </c>
      <c r="B81" s="101">
        <v>0</v>
      </c>
      <c r="C81" s="102">
        <v>0</v>
      </c>
      <c r="D81" s="102">
        <v>0</v>
      </c>
      <c r="E81" s="102">
        <v>0</v>
      </c>
      <c r="F81" s="101">
        <v>0</v>
      </c>
      <c r="G81" s="101">
        <v>0</v>
      </c>
      <c r="H81" s="101">
        <v>0</v>
      </c>
      <c r="I81" s="101">
        <v>0</v>
      </c>
      <c r="J81" s="101">
        <v>0</v>
      </c>
      <c r="K81" s="101">
        <v>0</v>
      </c>
      <c r="L81" s="101">
        <v>0</v>
      </c>
      <c r="M81" s="101">
        <v>0</v>
      </c>
      <c r="N81" s="138">
        <f t="shared" si="12"/>
        <v>0</v>
      </c>
    </row>
    <row r="82" spans="1:14" ht="13.5" thickBot="1">
      <c r="A82" s="108" t="s">
        <v>160</v>
      </c>
      <c r="B82" s="109">
        <v>0</v>
      </c>
      <c r="C82" s="110">
        <v>0</v>
      </c>
      <c r="D82" s="110">
        <v>0</v>
      </c>
      <c r="E82" s="110">
        <v>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v>0</v>
      </c>
      <c r="L82" s="109">
        <v>0</v>
      </c>
      <c r="M82" s="109">
        <f>'Производство продукции'!Q284</f>
        <v>20</v>
      </c>
      <c r="N82" s="139">
        <f t="shared" si="12"/>
        <v>20</v>
      </c>
    </row>
    <row r="83" spans="1:15" ht="16.5" thickBot="1">
      <c r="A83" s="115" t="s">
        <v>142</v>
      </c>
      <c r="B83" s="121">
        <f>SUM(B79:B82)</f>
        <v>729.92</v>
      </c>
      <c r="C83" s="122">
        <f aca="true" t="shared" si="13" ref="C83:K83">SUM(C79:C82)</f>
        <v>778.88</v>
      </c>
      <c r="D83" s="122">
        <f t="shared" si="13"/>
        <v>864.56</v>
      </c>
      <c r="E83" s="122">
        <f t="shared" si="13"/>
        <v>944.12</v>
      </c>
      <c r="F83" s="121">
        <f t="shared" si="13"/>
        <v>911.88</v>
      </c>
      <c r="G83" s="121">
        <f t="shared" si="13"/>
        <v>801.72</v>
      </c>
      <c r="H83" s="121">
        <f t="shared" si="13"/>
        <v>691.56</v>
      </c>
      <c r="I83" s="121">
        <f t="shared" si="13"/>
        <v>680.02</v>
      </c>
      <c r="J83" s="121">
        <f t="shared" si="13"/>
        <v>689.2</v>
      </c>
      <c r="K83" s="121">
        <f t="shared" si="13"/>
        <v>728.86</v>
      </c>
      <c r="L83" s="121">
        <f>SUM(L79:L82)</f>
        <v>767.62</v>
      </c>
      <c r="M83" s="121">
        <f>SUM(M79:M82)</f>
        <v>827.4</v>
      </c>
      <c r="N83" s="136">
        <f t="shared" si="12"/>
        <v>9415.74</v>
      </c>
      <c r="O83" s="91"/>
    </row>
    <row r="84" spans="1:15" ht="15.75">
      <c r="A84" s="147" t="s">
        <v>172</v>
      </c>
      <c r="B84" s="112">
        <v>124.54</v>
      </c>
      <c r="C84" s="112">
        <v>124.54</v>
      </c>
      <c r="D84" s="112">
        <v>124.54</v>
      </c>
      <c r="E84" s="112">
        <v>124.54</v>
      </c>
      <c r="F84" s="112">
        <v>124.54</v>
      </c>
      <c r="G84" s="112">
        <v>124.54</v>
      </c>
      <c r="H84" s="112">
        <v>124.54</v>
      </c>
      <c r="I84" s="112">
        <v>124.54</v>
      </c>
      <c r="J84" s="112">
        <v>124.54</v>
      </c>
      <c r="K84" s="112">
        <v>124.54</v>
      </c>
      <c r="L84" s="112">
        <v>124.54</v>
      </c>
      <c r="M84" s="112">
        <v>124.54</v>
      </c>
      <c r="N84" s="148">
        <f t="shared" si="12"/>
        <v>1494.4799999999998</v>
      </c>
      <c r="O84" s="91"/>
    </row>
    <row r="85" spans="1:15" ht="13.5" thickBot="1">
      <c r="A85" s="149" t="s">
        <v>170</v>
      </c>
      <c r="B85" s="109">
        <f aca="true" t="shared" si="14" ref="B85:M85">(B83-B65-B84)*6%</f>
        <v>36.3228</v>
      </c>
      <c r="C85" s="109">
        <f t="shared" si="14"/>
        <v>39.2604</v>
      </c>
      <c r="D85" s="109">
        <f t="shared" si="14"/>
        <v>44.401199999999996</v>
      </c>
      <c r="E85" s="109">
        <f t="shared" si="14"/>
        <v>49.1748</v>
      </c>
      <c r="F85" s="109">
        <f t="shared" si="14"/>
        <v>47.2404</v>
      </c>
      <c r="G85" s="109">
        <f t="shared" si="14"/>
        <v>40.6308</v>
      </c>
      <c r="H85" s="109">
        <f t="shared" si="14"/>
        <v>34.0212</v>
      </c>
      <c r="I85" s="109">
        <f t="shared" si="14"/>
        <v>33.3288</v>
      </c>
      <c r="J85" s="109">
        <f t="shared" si="14"/>
        <v>33.8796</v>
      </c>
      <c r="K85" s="109">
        <f t="shared" si="14"/>
        <v>36.2592</v>
      </c>
      <c r="L85" s="109">
        <f t="shared" si="14"/>
        <v>38.5848</v>
      </c>
      <c r="M85" s="109">
        <f t="shared" si="14"/>
        <v>42.1716</v>
      </c>
      <c r="N85" s="139">
        <f t="shared" si="12"/>
        <v>475.27560000000005</v>
      </c>
      <c r="O85" s="91"/>
    </row>
    <row r="86" spans="1:15" ht="15.75" thickBot="1">
      <c r="A86" s="115" t="s">
        <v>171</v>
      </c>
      <c r="B86" s="121">
        <f aca="true" t="shared" si="15" ref="B86:M86">B83-B66-B84-B85</f>
        <v>456.34979799999996</v>
      </c>
      <c r="C86" s="121">
        <f t="shared" si="15"/>
        <v>501.17031099999997</v>
      </c>
      <c r="D86" s="121">
        <f t="shared" si="15"/>
        <v>580.507624</v>
      </c>
      <c r="E86" s="121">
        <f t="shared" si="15"/>
        <v>654.267137</v>
      </c>
      <c r="F86" s="121">
        <f t="shared" si="15"/>
        <v>612.30349</v>
      </c>
      <c r="G86" s="121">
        <f t="shared" si="15"/>
        <v>516.977203</v>
      </c>
      <c r="H86" s="121">
        <f t="shared" si="15"/>
        <v>424.96717599999994</v>
      </c>
      <c r="I86" s="121">
        <f t="shared" si="15"/>
        <v>415.0118149999999</v>
      </c>
      <c r="J86" s="121">
        <f t="shared" si="15"/>
        <v>412.79972100000003</v>
      </c>
      <c r="K86" s="121">
        <f t="shared" si="15"/>
        <v>449.551657</v>
      </c>
      <c r="L86" s="121">
        <f t="shared" si="15"/>
        <v>472.20237099999997</v>
      </c>
      <c r="M86" s="121">
        <f t="shared" si="15"/>
        <v>538.254514</v>
      </c>
      <c r="N86" s="150">
        <f t="shared" si="12"/>
        <v>6034.362817000001</v>
      </c>
      <c r="O86" s="91"/>
    </row>
    <row r="87" spans="1:15" ht="15">
      <c r="A87" s="134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236"/>
      <c r="O87" s="91"/>
    </row>
    <row r="88" spans="1:15" ht="15">
      <c r="A88" s="402" t="s">
        <v>248</v>
      </c>
      <c r="B88" s="402"/>
      <c r="C88" s="402"/>
      <c r="D88" s="402"/>
      <c r="E88" s="402"/>
      <c r="F88" s="135"/>
      <c r="G88" s="135"/>
      <c r="H88" s="135"/>
      <c r="I88" s="135"/>
      <c r="J88" s="135"/>
      <c r="K88" s="135"/>
      <c r="L88" s="135"/>
      <c r="M88" s="135"/>
      <c r="N88" s="236"/>
      <c r="O88" s="91"/>
    </row>
    <row r="89" spans="2:14" ht="12.75">
      <c r="B89" s="104"/>
      <c r="C89" s="105"/>
      <c r="D89" s="105"/>
      <c r="E89" s="105"/>
      <c r="F89" s="104"/>
      <c r="G89" s="104"/>
      <c r="H89" s="104"/>
      <c r="I89" s="104"/>
      <c r="J89" s="104"/>
      <c r="K89" s="104"/>
      <c r="L89" s="104"/>
      <c r="M89" s="104"/>
      <c r="N89" s="140"/>
    </row>
    <row r="90" spans="1:14" ht="12.75" customHeight="1">
      <c r="A90" s="77"/>
      <c r="B90" s="403" t="s">
        <v>145</v>
      </c>
      <c r="C90" s="404"/>
      <c r="D90" s="404"/>
      <c r="E90" s="404"/>
      <c r="F90" s="404"/>
      <c r="G90" s="404"/>
      <c r="H90" s="404"/>
      <c r="I90" s="404"/>
      <c r="J90" s="404"/>
      <c r="K90" s="404"/>
      <c r="L90" s="404"/>
      <c r="M90" s="405"/>
      <c r="N90" s="406" t="s">
        <v>289</v>
      </c>
    </row>
    <row r="91" spans="1:14" ht="12.75">
      <c r="A91" s="77" t="s">
        <v>154</v>
      </c>
      <c r="B91" s="106">
        <v>1</v>
      </c>
      <c r="C91" s="107">
        <v>2</v>
      </c>
      <c r="D91" s="107">
        <v>3</v>
      </c>
      <c r="E91" s="107">
        <v>4</v>
      </c>
      <c r="F91" s="106">
        <v>5</v>
      </c>
      <c r="G91" s="106">
        <v>6</v>
      </c>
      <c r="H91" s="106">
        <v>7</v>
      </c>
      <c r="I91" s="107">
        <v>8</v>
      </c>
      <c r="J91" s="106">
        <v>9</v>
      </c>
      <c r="K91" s="106">
        <v>10</v>
      </c>
      <c r="L91" s="106">
        <v>11</v>
      </c>
      <c r="M91" s="106">
        <v>12</v>
      </c>
      <c r="N91" s="407"/>
    </row>
    <row r="92" spans="1:14" ht="16.5" thickBot="1">
      <c r="A92" s="124" t="s">
        <v>156</v>
      </c>
      <c r="B92" s="109"/>
      <c r="C92" s="110"/>
      <c r="D92" s="110"/>
      <c r="E92" s="110"/>
      <c r="F92" s="109"/>
      <c r="G92" s="109"/>
      <c r="H92" s="109"/>
      <c r="I92" s="110"/>
      <c r="J92" s="109"/>
      <c r="K92" s="109"/>
      <c r="L92" s="109"/>
      <c r="M92" s="109"/>
      <c r="N92" s="139"/>
    </row>
    <row r="93" spans="1:14" ht="16.5" thickBot="1">
      <c r="A93" s="115" t="s">
        <v>157</v>
      </c>
      <c r="B93" s="116">
        <f aca="true" t="shared" si="16" ref="B93:M93">SUM(B94:B104)</f>
        <v>122.626239</v>
      </c>
      <c r="C93" s="116">
        <f t="shared" si="16"/>
        <v>122.306032</v>
      </c>
      <c r="D93" s="116">
        <f t="shared" si="16"/>
        <v>122.751682</v>
      </c>
      <c r="E93" s="116">
        <f t="shared" si="16"/>
        <v>123.257632</v>
      </c>
      <c r="F93" s="116">
        <f t="shared" si="16"/>
        <v>130.747312</v>
      </c>
      <c r="G93" s="116">
        <f t="shared" si="16"/>
        <v>121.88898200000001</v>
      </c>
      <c r="H93" s="116">
        <f t="shared" si="16"/>
        <v>122.833624</v>
      </c>
      <c r="I93" s="116">
        <f t="shared" si="16"/>
        <v>123.940766</v>
      </c>
      <c r="J93" s="116">
        <f t="shared" si="16"/>
        <v>124.295406</v>
      </c>
      <c r="K93" s="116">
        <f t="shared" si="16"/>
        <v>124.710996</v>
      </c>
      <c r="L93" s="116">
        <f t="shared" si="16"/>
        <v>137.133266</v>
      </c>
      <c r="M93" s="116">
        <f t="shared" si="16"/>
        <v>127.15576600000001</v>
      </c>
      <c r="N93" s="136">
        <f aca="true" t="shared" si="17" ref="N93:N108">SUM(B93:M93)</f>
        <v>1503.647703</v>
      </c>
    </row>
    <row r="94" spans="1:15" ht="12.75">
      <c r="A94" s="35" t="s">
        <v>132</v>
      </c>
      <c r="B94" s="112">
        <f>'расходы на корма'!X42</f>
        <v>50.729787</v>
      </c>
      <c r="C94" s="113">
        <f>'расходы на корма'!X44</f>
        <v>50.507168</v>
      </c>
      <c r="D94" s="113">
        <f>'расходы на корма'!X45</f>
        <v>51.09827799999999</v>
      </c>
      <c r="E94" s="113">
        <f>'расходы на корма'!X46</f>
        <v>51.787188</v>
      </c>
      <c r="F94" s="112">
        <f>'расходы на корма'!X47</f>
        <v>49.433443999999994</v>
      </c>
      <c r="G94" s="113">
        <f>'расходы на корма'!X48</f>
        <v>50.346694</v>
      </c>
      <c r="H94" s="112">
        <f>'расходы на корма'!X49</f>
        <v>51.291804</v>
      </c>
      <c r="I94" s="112">
        <f>'расходы на корма'!X50</f>
        <v>52.23691399999999</v>
      </c>
      <c r="J94" s="112">
        <f>'расходы на корма'!X51</f>
        <v>52.41313399999999</v>
      </c>
      <c r="K94" s="112">
        <f>'расходы на корма'!X52</f>
        <v>52.678543999999995</v>
      </c>
      <c r="L94" s="112">
        <f>'расходы на корма'!X53</f>
        <v>54.972390000000004</v>
      </c>
      <c r="M94" s="112">
        <f>'расходы на корма'!X54</f>
        <v>54.972390000000004</v>
      </c>
      <c r="N94" s="137">
        <f t="shared" si="17"/>
        <v>622.4677350000001</v>
      </c>
      <c r="O94" s="12"/>
    </row>
    <row r="95" spans="1:14" ht="12.75">
      <c r="A95" s="2" t="s">
        <v>133</v>
      </c>
      <c r="B95" s="101">
        <f>'расходы на корма'!AD42</f>
        <v>11.0975</v>
      </c>
      <c r="C95" s="102">
        <f>'расходы на корма'!AD44</f>
        <v>11.02</v>
      </c>
      <c r="D95" s="102">
        <f>'расходы на корма'!AD45</f>
        <v>10.8875</v>
      </c>
      <c r="E95" s="102">
        <f>'расходы на корма'!AD46</f>
        <v>10.7175</v>
      </c>
      <c r="F95" s="101">
        <f>'расходы на корма'!AD47</f>
        <v>10.5525</v>
      </c>
      <c r="G95" s="102">
        <f>'расходы на корма'!AD48</f>
        <v>10.755</v>
      </c>
      <c r="H95" s="101">
        <f>'расходы на корма'!AD49</f>
        <v>10.7325</v>
      </c>
      <c r="I95" s="101">
        <f>'расходы на корма'!AD50</f>
        <v>10.8725</v>
      </c>
      <c r="J95" s="101">
        <f>'расходы на корма'!AD51</f>
        <v>11.025</v>
      </c>
      <c r="K95" s="101">
        <f>'расходы на корма'!AD52</f>
        <v>11.1525</v>
      </c>
      <c r="L95" s="101">
        <f>'расходы на корма'!AD53</f>
        <v>11.2725</v>
      </c>
      <c r="M95" s="101">
        <f>'расходы на корма'!AD54</f>
        <v>11.295</v>
      </c>
      <c r="N95" s="138">
        <f t="shared" si="17"/>
        <v>131.38</v>
      </c>
    </row>
    <row r="96" spans="1:14" ht="12.75">
      <c r="A96" s="2" t="s">
        <v>134</v>
      </c>
      <c r="B96" s="101">
        <v>5</v>
      </c>
      <c r="C96" s="102">
        <v>5</v>
      </c>
      <c r="D96" s="102">
        <v>5</v>
      </c>
      <c r="E96" s="102">
        <v>5</v>
      </c>
      <c r="F96" s="101">
        <v>5</v>
      </c>
      <c r="G96" s="101">
        <v>5</v>
      </c>
      <c r="H96" s="101">
        <v>5</v>
      </c>
      <c r="I96" s="101">
        <v>5</v>
      </c>
      <c r="J96" s="101">
        <v>5</v>
      </c>
      <c r="K96" s="101">
        <v>5</v>
      </c>
      <c r="L96" s="101">
        <v>5</v>
      </c>
      <c r="M96" s="101">
        <v>5</v>
      </c>
      <c r="N96" s="138">
        <f t="shared" si="17"/>
        <v>60</v>
      </c>
    </row>
    <row r="97" spans="1:14" ht="12.75">
      <c r="A97" s="2" t="s">
        <v>135</v>
      </c>
      <c r="B97" s="101">
        <v>0</v>
      </c>
      <c r="C97" s="102">
        <v>0</v>
      </c>
      <c r="D97" s="102">
        <v>0</v>
      </c>
      <c r="E97" s="102">
        <v>0</v>
      </c>
      <c r="F97" s="101">
        <v>10</v>
      </c>
      <c r="G97" s="101">
        <v>0</v>
      </c>
      <c r="H97" s="101">
        <v>0</v>
      </c>
      <c r="I97" s="101">
        <v>0</v>
      </c>
      <c r="J97" s="101">
        <v>0</v>
      </c>
      <c r="K97" s="101">
        <v>0</v>
      </c>
      <c r="L97" s="101">
        <v>10</v>
      </c>
      <c r="M97" s="101">
        <v>0</v>
      </c>
      <c r="N97" s="138">
        <f t="shared" si="17"/>
        <v>20</v>
      </c>
    </row>
    <row r="98" spans="1:14" ht="12.75">
      <c r="A98" s="2" t="s">
        <v>136</v>
      </c>
      <c r="B98" s="101">
        <v>9.45</v>
      </c>
      <c r="C98" s="102">
        <v>9.45</v>
      </c>
      <c r="D98" s="102">
        <v>9.45</v>
      </c>
      <c r="E98" s="102">
        <v>9.45</v>
      </c>
      <c r="F98" s="101">
        <v>9.45</v>
      </c>
      <c r="G98" s="101">
        <v>9.45</v>
      </c>
      <c r="H98" s="101">
        <v>9.45</v>
      </c>
      <c r="I98" s="101">
        <v>9.45</v>
      </c>
      <c r="J98" s="101">
        <v>9.45</v>
      </c>
      <c r="K98" s="101">
        <v>9.45</v>
      </c>
      <c r="L98" s="101">
        <v>9.45</v>
      </c>
      <c r="M98" s="101">
        <v>9.45</v>
      </c>
      <c r="N98" s="138">
        <f t="shared" si="17"/>
        <v>113.40000000000002</v>
      </c>
    </row>
    <row r="99" spans="1:14" ht="12.75">
      <c r="A99" s="2" t="s">
        <v>114</v>
      </c>
      <c r="B99" s="101">
        <f>'расходы на корма'!AA42</f>
        <v>4.178952000000001</v>
      </c>
      <c r="C99" s="102">
        <f>'расходы на корма'!AA44</f>
        <v>4.158864</v>
      </c>
      <c r="D99" s="102">
        <f>'расходы на корма'!AA45</f>
        <v>4.145904000000001</v>
      </c>
      <c r="E99" s="102">
        <f>'расходы на корма'!AA46</f>
        <v>4.132944</v>
      </c>
      <c r="F99" s="101">
        <f>'расходы на корма'!AA47</f>
        <v>4.141368000000001</v>
      </c>
      <c r="G99" s="102">
        <f>'расходы на корма'!AA48</f>
        <v>4.167288</v>
      </c>
      <c r="H99" s="101">
        <f>'расходы на корма'!AA49</f>
        <v>4.18932</v>
      </c>
      <c r="I99" s="101">
        <f>'расходы на корма'!AA50</f>
        <v>4.211352</v>
      </c>
      <c r="J99" s="101">
        <f>'расходы на корма'!AA51</f>
        <v>4.237272</v>
      </c>
      <c r="K99" s="101">
        <f>'расходы на корма'!AA52</f>
        <v>4.259952</v>
      </c>
      <c r="L99" s="101">
        <f>'расходы на корма'!AA53</f>
        <v>4.268376</v>
      </c>
      <c r="M99" s="101">
        <f>'расходы на корма'!AA54</f>
        <v>4.268376</v>
      </c>
      <c r="N99" s="138">
        <f t="shared" si="17"/>
        <v>50.359967999999995</v>
      </c>
    </row>
    <row r="100" spans="1:14" ht="12.75">
      <c r="A100" s="2" t="s">
        <v>137</v>
      </c>
      <c r="B100" s="101">
        <v>30</v>
      </c>
      <c r="C100" s="102">
        <v>30</v>
      </c>
      <c r="D100" s="102">
        <v>30</v>
      </c>
      <c r="E100" s="102">
        <v>30</v>
      </c>
      <c r="F100" s="101">
        <v>30</v>
      </c>
      <c r="G100" s="101">
        <v>30</v>
      </c>
      <c r="H100" s="101">
        <v>30</v>
      </c>
      <c r="I100" s="101">
        <v>30</v>
      </c>
      <c r="J100" s="101">
        <v>30</v>
      </c>
      <c r="K100" s="101">
        <v>30</v>
      </c>
      <c r="L100" s="101">
        <v>30</v>
      </c>
      <c r="M100" s="101">
        <v>30</v>
      </c>
      <c r="N100" s="138">
        <f t="shared" si="17"/>
        <v>360</v>
      </c>
    </row>
    <row r="101" spans="1:14" ht="12.75">
      <c r="A101" s="2" t="s">
        <v>138</v>
      </c>
      <c r="B101" s="101">
        <v>1</v>
      </c>
      <c r="C101" s="102">
        <v>1</v>
      </c>
      <c r="D101" s="102">
        <v>1</v>
      </c>
      <c r="E101" s="102">
        <v>1</v>
      </c>
      <c r="F101" s="101">
        <v>1</v>
      </c>
      <c r="G101" s="101">
        <v>1</v>
      </c>
      <c r="H101" s="101">
        <v>1</v>
      </c>
      <c r="I101" s="101">
        <v>1</v>
      </c>
      <c r="J101" s="101">
        <v>1</v>
      </c>
      <c r="K101" s="101">
        <v>1</v>
      </c>
      <c r="L101" s="101">
        <v>1</v>
      </c>
      <c r="M101" s="101">
        <v>1</v>
      </c>
      <c r="N101" s="138">
        <f t="shared" si="17"/>
        <v>12</v>
      </c>
    </row>
    <row r="102" spans="1:14" ht="12.75">
      <c r="A102" s="2" t="s">
        <v>139</v>
      </c>
      <c r="B102" s="101">
        <v>10</v>
      </c>
      <c r="C102" s="102">
        <v>10</v>
      </c>
      <c r="D102" s="102">
        <v>10</v>
      </c>
      <c r="E102" s="102">
        <v>10</v>
      </c>
      <c r="F102" s="101">
        <v>10</v>
      </c>
      <c r="G102" s="101">
        <v>10</v>
      </c>
      <c r="H102" s="101">
        <v>10</v>
      </c>
      <c r="I102" s="101">
        <v>10</v>
      </c>
      <c r="J102" s="101">
        <v>10</v>
      </c>
      <c r="K102" s="101">
        <v>10</v>
      </c>
      <c r="L102" s="101">
        <v>10</v>
      </c>
      <c r="M102" s="101">
        <v>10</v>
      </c>
      <c r="N102" s="138">
        <f t="shared" si="17"/>
        <v>120</v>
      </c>
    </row>
    <row r="103" spans="1:14" ht="12.75">
      <c r="A103" s="2" t="s">
        <v>151</v>
      </c>
      <c r="B103" s="101">
        <v>1.17</v>
      </c>
      <c r="C103" s="102">
        <v>1.17</v>
      </c>
      <c r="D103" s="102">
        <v>1.17</v>
      </c>
      <c r="E103" s="102">
        <v>1.17</v>
      </c>
      <c r="F103" s="101">
        <v>1.17</v>
      </c>
      <c r="G103" s="101">
        <v>1.17</v>
      </c>
      <c r="H103" s="101">
        <v>1.17</v>
      </c>
      <c r="I103" s="101">
        <v>1.17</v>
      </c>
      <c r="J103" s="101">
        <v>1.17</v>
      </c>
      <c r="K103" s="101">
        <v>1.17</v>
      </c>
      <c r="L103" s="101">
        <v>1.17</v>
      </c>
      <c r="M103" s="101">
        <v>1.17</v>
      </c>
      <c r="N103" s="138">
        <f t="shared" si="17"/>
        <v>14.04</v>
      </c>
    </row>
    <row r="104" spans="1:14" ht="12.75">
      <c r="A104" s="2" t="s">
        <v>140</v>
      </c>
      <c r="B104" s="101"/>
      <c r="C104" s="102"/>
      <c r="D104" s="102"/>
      <c r="E104" s="102"/>
      <c r="F104" s="101"/>
      <c r="G104" s="102"/>
      <c r="H104" s="101"/>
      <c r="I104" s="101"/>
      <c r="J104" s="101"/>
      <c r="K104" s="101"/>
      <c r="L104" s="101"/>
      <c r="M104" s="101"/>
      <c r="N104" s="138">
        <f t="shared" si="17"/>
        <v>0</v>
      </c>
    </row>
    <row r="105" spans="1:14" ht="15.75">
      <c r="A105" s="78" t="s">
        <v>155</v>
      </c>
      <c r="B105" s="101"/>
      <c r="C105" s="102"/>
      <c r="D105" s="102"/>
      <c r="E105" s="102"/>
      <c r="F105" s="101"/>
      <c r="G105" s="101"/>
      <c r="H105" s="101"/>
      <c r="I105" s="102"/>
      <c r="J105" s="101"/>
      <c r="K105" s="101"/>
      <c r="L105" s="101"/>
      <c r="M105" s="101"/>
      <c r="N105" s="138">
        <f t="shared" si="17"/>
        <v>0</v>
      </c>
    </row>
    <row r="106" spans="1:14" ht="12.75">
      <c r="A106" s="2" t="s">
        <v>158</v>
      </c>
      <c r="B106" s="101">
        <f>'Производство продукции'!J303</f>
        <v>812.43</v>
      </c>
      <c r="C106" s="102">
        <f>'Производство продукции'!J320</f>
        <v>838.95</v>
      </c>
      <c r="D106" s="102">
        <f>'Производство продукции'!J338</f>
        <v>871.08</v>
      </c>
      <c r="E106" s="102">
        <f>'Производство продукции'!J356</f>
        <v>945.54</v>
      </c>
      <c r="F106" s="101">
        <f>'Производство продукции'!J376</f>
        <v>990.93</v>
      </c>
      <c r="G106" s="102">
        <f>'Производство продукции'!J396</f>
        <v>905.25</v>
      </c>
      <c r="H106" s="101">
        <f>'Производство продукции'!J416</f>
        <v>787.44</v>
      </c>
      <c r="I106" s="101">
        <f>'Производство продукции'!J436</f>
        <v>745.62</v>
      </c>
      <c r="J106" s="101">
        <f>'Производство продукции'!J455</f>
        <v>746.13</v>
      </c>
      <c r="K106" s="101">
        <f>'Производство продукции'!J476</f>
        <v>773.67</v>
      </c>
      <c r="L106" s="101">
        <f>'Производство продукции'!J497</f>
        <v>795.09</v>
      </c>
      <c r="M106" s="101">
        <f>'Производство продукции'!J519</f>
        <v>818.55</v>
      </c>
      <c r="N106" s="138">
        <f t="shared" si="17"/>
        <v>10030.68</v>
      </c>
    </row>
    <row r="107" spans="1:14" ht="12.75">
      <c r="A107" s="2" t="s">
        <v>148</v>
      </c>
      <c r="B107" s="101">
        <f>'Производство продукции'!M303</f>
        <v>22</v>
      </c>
      <c r="C107" s="102">
        <f>'Производство продукции'!M320</f>
        <v>22</v>
      </c>
      <c r="D107" s="102">
        <f>'Производство продукции'!M338</f>
        <v>22</v>
      </c>
      <c r="E107" s="102">
        <f>'Производство продукции'!M356</f>
        <v>16</v>
      </c>
      <c r="F107" s="101">
        <f>'Производство продукции'!M376</f>
        <v>16</v>
      </c>
      <c r="G107" s="102">
        <f>'Производство продукции'!M396</f>
        <v>0</v>
      </c>
      <c r="H107" s="101">
        <f>'Производство продукции'!M396</f>
        <v>0</v>
      </c>
      <c r="I107" s="101">
        <f>'Производство продукции'!M436</f>
        <v>16</v>
      </c>
      <c r="J107" s="101">
        <f>'Производство продукции'!M455</f>
        <v>16</v>
      </c>
      <c r="K107" s="101">
        <f>'Производство продукции'!M476</f>
        <v>20</v>
      </c>
      <c r="L107" s="101">
        <f>'Производство продукции'!M497</f>
        <v>20</v>
      </c>
      <c r="M107" s="101">
        <f>'Производство продукции'!M519</f>
        <v>20</v>
      </c>
      <c r="N107" s="138">
        <f t="shared" si="17"/>
        <v>190</v>
      </c>
    </row>
    <row r="108" spans="1:14" ht="12.75">
      <c r="A108" s="2" t="s">
        <v>141</v>
      </c>
      <c r="B108" s="101">
        <v>0</v>
      </c>
      <c r="C108" s="102">
        <v>0</v>
      </c>
      <c r="D108" s="102">
        <v>0</v>
      </c>
      <c r="E108" s="102">
        <v>0</v>
      </c>
      <c r="F108" s="101">
        <v>0</v>
      </c>
      <c r="G108" s="101">
        <v>0</v>
      </c>
      <c r="H108" s="101">
        <v>0</v>
      </c>
      <c r="I108" s="101">
        <v>0</v>
      </c>
      <c r="J108" s="101">
        <v>0</v>
      </c>
      <c r="K108" s="101">
        <v>0</v>
      </c>
      <c r="L108" s="101">
        <v>0</v>
      </c>
      <c r="M108" s="101">
        <v>0</v>
      </c>
      <c r="N108" s="138">
        <f t="shared" si="17"/>
        <v>0</v>
      </c>
    </row>
    <row r="109" spans="1:14" ht="13.5" thickBot="1">
      <c r="A109" s="108" t="s">
        <v>160</v>
      </c>
      <c r="B109" s="109">
        <f>'Производство продукции'!Q303</f>
        <v>60</v>
      </c>
      <c r="C109" s="110">
        <f>'Производство продукции'!Q320</f>
        <v>60</v>
      </c>
      <c r="D109" s="110">
        <f>'Производство продукции'!Q338</f>
        <v>60</v>
      </c>
      <c r="E109" s="110">
        <f>'Производство продукции'!Q356</f>
        <v>0</v>
      </c>
      <c r="F109" s="109">
        <f>'Производство продукции'!Q356</f>
        <v>0</v>
      </c>
      <c r="G109" s="110">
        <v>0</v>
      </c>
      <c r="H109" s="110">
        <v>0</v>
      </c>
      <c r="I109" s="110">
        <v>0</v>
      </c>
      <c r="J109" s="110">
        <f>'Производство продукции'!Q455</f>
        <v>0</v>
      </c>
      <c r="K109" s="110">
        <f>'Производство продукции'!Q476</f>
        <v>40</v>
      </c>
      <c r="L109" s="109">
        <f>'Производство продукции'!Q497</f>
        <v>40</v>
      </c>
      <c r="M109" s="109">
        <f>'Производство продукции'!Q519</f>
        <v>40</v>
      </c>
      <c r="N109" s="139">
        <f>SUM(B109:M109)</f>
        <v>300</v>
      </c>
    </row>
    <row r="110" spans="1:15" ht="16.5" thickBot="1">
      <c r="A110" s="115" t="s">
        <v>142</v>
      </c>
      <c r="B110" s="121">
        <f>SUM(B106:B109)</f>
        <v>894.43</v>
      </c>
      <c r="C110" s="122">
        <f aca="true" t="shared" si="18" ref="C110:K110">SUM(C106:C109)</f>
        <v>920.95</v>
      </c>
      <c r="D110" s="122">
        <f t="shared" si="18"/>
        <v>953.08</v>
      </c>
      <c r="E110" s="122">
        <f t="shared" si="18"/>
        <v>961.54</v>
      </c>
      <c r="F110" s="121">
        <f t="shared" si="18"/>
        <v>1006.93</v>
      </c>
      <c r="G110" s="121">
        <f t="shared" si="18"/>
        <v>905.25</v>
      </c>
      <c r="H110" s="121">
        <f t="shared" si="18"/>
        <v>787.44</v>
      </c>
      <c r="I110" s="121">
        <f t="shared" si="18"/>
        <v>761.62</v>
      </c>
      <c r="J110" s="121">
        <f t="shared" si="18"/>
        <v>762.13</v>
      </c>
      <c r="K110" s="121">
        <f t="shared" si="18"/>
        <v>833.67</v>
      </c>
      <c r="L110" s="121">
        <f>SUM(L106:L109)</f>
        <v>855.09</v>
      </c>
      <c r="M110" s="121">
        <f>SUM(M106:M109)</f>
        <v>878.55</v>
      </c>
      <c r="N110" s="136">
        <f>SUM(B110:M110)</f>
        <v>10520.68</v>
      </c>
      <c r="O110" s="91"/>
    </row>
    <row r="111" spans="1:15" ht="15.75">
      <c r="A111" s="147" t="s">
        <v>172</v>
      </c>
      <c r="B111" s="112">
        <v>124.54</v>
      </c>
      <c r="C111" s="112">
        <v>124.54</v>
      </c>
      <c r="D111" s="112">
        <v>124.54</v>
      </c>
      <c r="E111" s="112">
        <v>124.54</v>
      </c>
      <c r="F111" s="112">
        <v>124.54</v>
      </c>
      <c r="G111" s="112">
        <v>124.54</v>
      </c>
      <c r="H111" s="112">
        <v>124.54</v>
      </c>
      <c r="I111" s="112">
        <v>124.54</v>
      </c>
      <c r="J111" s="112">
        <v>124.54</v>
      </c>
      <c r="K111" s="112">
        <v>124.54</v>
      </c>
      <c r="L111" s="112">
        <v>124.54</v>
      </c>
      <c r="M111" s="112">
        <v>124.54</v>
      </c>
      <c r="N111" s="148">
        <f>SUM(B111:M111)</f>
        <v>1494.4799999999998</v>
      </c>
      <c r="O111" s="91"/>
    </row>
    <row r="112" spans="1:15" ht="13.5" thickBot="1">
      <c r="A112" s="149" t="s">
        <v>170</v>
      </c>
      <c r="B112" s="109">
        <f aca="true" t="shared" si="19" ref="B112:I112">(B110-B92)*6%</f>
        <v>53.6658</v>
      </c>
      <c r="C112" s="109">
        <f t="shared" si="19"/>
        <v>55.257</v>
      </c>
      <c r="D112" s="109">
        <f t="shared" si="19"/>
        <v>57.1848</v>
      </c>
      <c r="E112" s="109">
        <f t="shared" si="19"/>
        <v>57.69239999999999</v>
      </c>
      <c r="F112" s="109">
        <f t="shared" si="19"/>
        <v>60.4158</v>
      </c>
      <c r="G112" s="109">
        <f t="shared" si="19"/>
        <v>54.315</v>
      </c>
      <c r="H112" s="109">
        <f t="shared" si="19"/>
        <v>47.2464</v>
      </c>
      <c r="I112" s="109">
        <f t="shared" si="19"/>
        <v>45.697199999999995</v>
      </c>
      <c r="J112" s="109">
        <f>(J110-J92)*6%</f>
        <v>45.727799999999995</v>
      </c>
      <c r="K112" s="109">
        <f>(K110-K92)*6%</f>
        <v>50.020199999999996</v>
      </c>
      <c r="L112" s="109">
        <f>(L110-L92)*6%</f>
        <v>51.3054</v>
      </c>
      <c r="M112" s="109">
        <f>(M110-M92)*6%</f>
        <v>52.712999999999994</v>
      </c>
      <c r="N112" s="139">
        <f>SUM(B112:M112)</f>
        <v>631.2407999999999</v>
      </c>
      <c r="O112" s="91"/>
    </row>
    <row r="113" spans="1:15" ht="15.75" thickBot="1">
      <c r="A113" s="115" t="s">
        <v>171</v>
      </c>
      <c r="B113" s="121">
        <f aca="true" t="shared" si="20" ref="B113:M113">B110-B93-B111-B112</f>
        <v>593.5979609999999</v>
      </c>
      <c r="C113" s="121">
        <f t="shared" si="20"/>
        <v>618.8469680000002</v>
      </c>
      <c r="D113" s="121">
        <f t="shared" si="20"/>
        <v>648.6035180000001</v>
      </c>
      <c r="E113" s="121">
        <f t="shared" si="20"/>
        <v>656.0499679999999</v>
      </c>
      <c r="F113" s="121">
        <f t="shared" si="20"/>
        <v>691.226888</v>
      </c>
      <c r="G113" s="121">
        <f t="shared" si="20"/>
        <v>604.506018</v>
      </c>
      <c r="H113" s="121">
        <f t="shared" si="20"/>
        <v>492.8199760000001</v>
      </c>
      <c r="I113" s="121">
        <f t="shared" si="20"/>
        <v>467.442034</v>
      </c>
      <c r="J113" s="121">
        <f t="shared" si="20"/>
        <v>467.5667940000001</v>
      </c>
      <c r="K113" s="121">
        <f t="shared" si="20"/>
        <v>534.3988039999999</v>
      </c>
      <c r="L113" s="121">
        <f t="shared" si="20"/>
        <v>542.1113340000002</v>
      </c>
      <c r="M113" s="121">
        <f t="shared" si="20"/>
        <v>574.141234</v>
      </c>
      <c r="N113" s="150">
        <f>SUM(B113:M113)</f>
        <v>6891.311497000001</v>
      </c>
      <c r="O113" s="91"/>
    </row>
    <row r="114" spans="1:15" ht="15">
      <c r="A114" s="134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236"/>
      <c r="O114" s="91"/>
    </row>
    <row r="115" spans="1:15" ht="15">
      <c r="A115" s="402" t="s">
        <v>248</v>
      </c>
      <c r="B115" s="402"/>
      <c r="C115" s="402"/>
      <c r="D115" s="402"/>
      <c r="E115" s="402"/>
      <c r="F115" s="135"/>
      <c r="G115" s="135"/>
      <c r="H115" s="135"/>
      <c r="I115" s="135"/>
      <c r="J115" s="135"/>
      <c r="K115" s="135"/>
      <c r="L115" s="135"/>
      <c r="M115" s="135"/>
      <c r="N115" s="236"/>
      <c r="O115" s="91"/>
    </row>
    <row r="116" spans="2:14" ht="12.75">
      <c r="B116" s="104"/>
      <c r="C116" s="105"/>
      <c r="D116" s="105"/>
      <c r="E116" s="105"/>
      <c r="F116" s="104"/>
      <c r="G116" s="104"/>
      <c r="H116" s="104"/>
      <c r="I116" s="104"/>
      <c r="J116" s="104"/>
      <c r="K116" s="104"/>
      <c r="L116" s="104"/>
      <c r="M116" s="104"/>
      <c r="N116" s="140"/>
    </row>
    <row r="117" spans="1:14" ht="12.75" customHeight="1">
      <c r="A117" s="77"/>
      <c r="B117" s="403" t="s">
        <v>184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5"/>
      <c r="N117" s="406" t="s">
        <v>290</v>
      </c>
    </row>
    <row r="118" spans="1:14" ht="12.75">
      <c r="A118" s="77" t="s">
        <v>154</v>
      </c>
      <c r="B118" s="106">
        <v>1</v>
      </c>
      <c r="C118" s="107">
        <v>2</v>
      </c>
      <c r="D118" s="107">
        <v>3</v>
      </c>
      <c r="E118" s="107">
        <v>4</v>
      </c>
      <c r="F118" s="106">
        <v>5</v>
      </c>
      <c r="G118" s="106">
        <v>6</v>
      </c>
      <c r="H118" s="106">
        <v>7</v>
      </c>
      <c r="I118" s="107">
        <v>8</v>
      </c>
      <c r="J118" s="106">
        <v>9</v>
      </c>
      <c r="K118" s="106">
        <v>10</v>
      </c>
      <c r="L118" s="106">
        <v>11</v>
      </c>
      <c r="M118" s="106">
        <v>12</v>
      </c>
      <c r="N118" s="407"/>
    </row>
    <row r="119" spans="1:14" ht="16.5" thickBot="1">
      <c r="A119" s="124" t="s">
        <v>156</v>
      </c>
      <c r="B119" s="109"/>
      <c r="C119" s="110"/>
      <c r="D119" s="110"/>
      <c r="E119" s="110"/>
      <c r="F119" s="109"/>
      <c r="G119" s="109"/>
      <c r="H119" s="109"/>
      <c r="I119" s="110"/>
      <c r="J119" s="109"/>
      <c r="K119" s="109"/>
      <c r="L119" s="109"/>
      <c r="M119" s="109"/>
      <c r="N119" s="139"/>
    </row>
    <row r="120" spans="1:14" ht="16.5" thickBot="1">
      <c r="A120" s="115" t="s">
        <v>157</v>
      </c>
      <c r="B120" s="116">
        <f aca="true" t="shared" si="21" ref="B120:M120">SUM(B121:B131)</f>
        <v>127.12530600000001</v>
      </c>
      <c r="C120" s="116">
        <f t="shared" si="21"/>
        <v>128.98506600000002</v>
      </c>
      <c r="D120" s="116">
        <f t="shared" si="21"/>
        <v>128.98506600000002</v>
      </c>
      <c r="E120" s="116">
        <f t="shared" si="21"/>
        <v>128.98506600000002</v>
      </c>
      <c r="F120" s="116">
        <f t="shared" si="21"/>
        <v>138.985066</v>
      </c>
      <c r="G120" s="116">
        <f t="shared" si="21"/>
        <v>128.98506600000002</v>
      </c>
      <c r="H120" s="116">
        <f t="shared" si="21"/>
        <v>128.98506600000002</v>
      </c>
      <c r="I120" s="116">
        <f t="shared" si="21"/>
        <v>128.98506600000002</v>
      </c>
      <c r="J120" s="116">
        <f t="shared" si="21"/>
        <v>128.98506600000002</v>
      </c>
      <c r="K120" s="116">
        <f t="shared" si="21"/>
        <v>128.98506600000002</v>
      </c>
      <c r="L120" s="116">
        <f t="shared" si="21"/>
        <v>138.9825</v>
      </c>
      <c r="M120" s="116">
        <f t="shared" si="21"/>
        <v>128.9825</v>
      </c>
      <c r="N120" s="136">
        <f aca="true" t="shared" si="22" ref="N120:N137">SUM(B120:M120)</f>
        <v>1565.9559</v>
      </c>
    </row>
    <row r="121" spans="1:15" ht="12.75">
      <c r="A121" s="35" t="s">
        <v>132</v>
      </c>
      <c r="B121" s="112">
        <f>'расходы на корма'!X55</f>
        <v>54.90517</v>
      </c>
      <c r="C121" s="113">
        <f>'расходы на корма'!X57</f>
        <v>56.54883</v>
      </c>
      <c r="D121" s="113">
        <f>C121</f>
        <v>56.54883</v>
      </c>
      <c r="E121" s="113">
        <f aca="true" t="shared" si="23" ref="E121:K121">D121</f>
        <v>56.54883</v>
      </c>
      <c r="F121" s="112">
        <f t="shared" si="23"/>
        <v>56.54883</v>
      </c>
      <c r="G121" s="112">
        <f t="shared" si="23"/>
        <v>56.54883</v>
      </c>
      <c r="H121" s="112">
        <f t="shared" si="23"/>
        <v>56.54883</v>
      </c>
      <c r="I121" s="112">
        <f t="shared" si="23"/>
        <v>56.54883</v>
      </c>
      <c r="J121" s="112">
        <f t="shared" si="23"/>
        <v>56.54883</v>
      </c>
      <c r="K121" s="112">
        <f t="shared" si="23"/>
        <v>56.54883</v>
      </c>
      <c r="L121" s="112">
        <v>56.55</v>
      </c>
      <c r="M121" s="112">
        <v>56.55</v>
      </c>
      <c r="N121" s="137">
        <f t="shared" si="22"/>
        <v>676.9446399999999</v>
      </c>
      <c r="O121" s="12"/>
    </row>
    <row r="122" spans="1:14" ht="12.75">
      <c r="A122" s="2" t="s">
        <v>133</v>
      </c>
      <c r="B122" s="101">
        <f>'расходы на корма'!AD55</f>
        <v>11.335</v>
      </c>
      <c r="C122" s="102">
        <f>'расходы на корма'!AD57</f>
        <v>11.5025</v>
      </c>
      <c r="D122" s="102">
        <f>C122</f>
        <v>11.5025</v>
      </c>
      <c r="E122" s="102">
        <f aca="true" t="shared" si="24" ref="E122:K122">D122</f>
        <v>11.5025</v>
      </c>
      <c r="F122" s="101">
        <f t="shared" si="24"/>
        <v>11.5025</v>
      </c>
      <c r="G122" s="101">
        <f t="shared" si="24"/>
        <v>11.5025</v>
      </c>
      <c r="H122" s="101">
        <f t="shared" si="24"/>
        <v>11.5025</v>
      </c>
      <c r="I122" s="101">
        <f t="shared" si="24"/>
        <v>11.5025</v>
      </c>
      <c r="J122" s="101">
        <f t="shared" si="24"/>
        <v>11.5025</v>
      </c>
      <c r="K122" s="101">
        <f t="shared" si="24"/>
        <v>11.5025</v>
      </c>
      <c r="L122" s="101">
        <f>K122</f>
        <v>11.5025</v>
      </c>
      <c r="M122" s="101">
        <f>L122</f>
        <v>11.5025</v>
      </c>
      <c r="N122" s="138">
        <f t="shared" si="22"/>
        <v>137.86249999999998</v>
      </c>
    </row>
    <row r="123" spans="1:14" ht="12.75">
      <c r="A123" s="2" t="s">
        <v>134</v>
      </c>
      <c r="B123" s="101">
        <v>5</v>
      </c>
      <c r="C123" s="102">
        <v>5</v>
      </c>
      <c r="D123" s="102">
        <v>5</v>
      </c>
      <c r="E123" s="102">
        <v>5</v>
      </c>
      <c r="F123" s="101">
        <v>5</v>
      </c>
      <c r="G123" s="101">
        <v>5</v>
      </c>
      <c r="H123" s="101">
        <v>5</v>
      </c>
      <c r="I123" s="101">
        <v>5</v>
      </c>
      <c r="J123" s="101">
        <v>5</v>
      </c>
      <c r="K123" s="101">
        <v>5</v>
      </c>
      <c r="L123" s="101">
        <v>5</v>
      </c>
      <c r="M123" s="101">
        <v>5</v>
      </c>
      <c r="N123" s="138">
        <f t="shared" si="22"/>
        <v>60</v>
      </c>
    </row>
    <row r="124" spans="1:14" ht="12.75">
      <c r="A124" s="2" t="s">
        <v>135</v>
      </c>
      <c r="B124" s="101">
        <v>0</v>
      </c>
      <c r="C124" s="102">
        <v>0</v>
      </c>
      <c r="D124" s="102">
        <v>0</v>
      </c>
      <c r="E124" s="102">
        <v>0</v>
      </c>
      <c r="F124" s="101">
        <v>10</v>
      </c>
      <c r="G124" s="101">
        <v>0</v>
      </c>
      <c r="H124" s="101">
        <v>0</v>
      </c>
      <c r="I124" s="101">
        <v>0</v>
      </c>
      <c r="J124" s="101">
        <v>0</v>
      </c>
      <c r="K124" s="101">
        <v>0</v>
      </c>
      <c r="L124" s="101">
        <v>10</v>
      </c>
      <c r="M124" s="101">
        <v>0</v>
      </c>
      <c r="N124" s="138">
        <f t="shared" si="22"/>
        <v>20</v>
      </c>
    </row>
    <row r="125" spans="1:14" ht="12.75">
      <c r="A125" s="2" t="s">
        <v>136</v>
      </c>
      <c r="B125" s="101">
        <v>9.45</v>
      </c>
      <c r="C125" s="102">
        <v>9.45</v>
      </c>
      <c r="D125" s="102">
        <v>9.45</v>
      </c>
      <c r="E125" s="102">
        <v>9.45</v>
      </c>
      <c r="F125" s="101">
        <v>9.45</v>
      </c>
      <c r="G125" s="101">
        <v>9.45</v>
      </c>
      <c r="H125" s="101">
        <v>9.45</v>
      </c>
      <c r="I125" s="101">
        <v>9.45</v>
      </c>
      <c r="J125" s="101">
        <v>9.45</v>
      </c>
      <c r="K125" s="101">
        <v>9.45</v>
      </c>
      <c r="L125" s="101">
        <v>9.45</v>
      </c>
      <c r="M125" s="101">
        <v>9.45</v>
      </c>
      <c r="N125" s="138">
        <f t="shared" si="22"/>
        <v>113.40000000000002</v>
      </c>
    </row>
    <row r="126" spans="1:14" ht="12.75">
      <c r="A126" s="2" t="s">
        <v>114</v>
      </c>
      <c r="B126" s="101">
        <f>'расходы на корма'!AA55</f>
        <v>4.265136</v>
      </c>
      <c r="C126" s="102">
        <f>'расходы на корма'!AA57</f>
        <v>4.313736</v>
      </c>
      <c r="D126" s="102">
        <f>C126</f>
        <v>4.313736</v>
      </c>
      <c r="E126" s="102">
        <f aca="true" t="shared" si="25" ref="E126:K126">D126</f>
        <v>4.313736</v>
      </c>
      <c r="F126" s="101">
        <f t="shared" si="25"/>
        <v>4.313736</v>
      </c>
      <c r="G126" s="101">
        <f t="shared" si="25"/>
        <v>4.313736</v>
      </c>
      <c r="H126" s="101">
        <f t="shared" si="25"/>
        <v>4.313736</v>
      </c>
      <c r="I126" s="101">
        <f t="shared" si="25"/>
        <v>4.313736</v>
      </c>
      <c r="J126" s="101">
        <f t="shared" si="25"/>
        <v>4.313736</v>
      </c>
      <c r="K126" s="101">
        <f t="shared" si="25"/>
        <v>4.313736</v>
      </c>
      <c r="L126" s="101">
        <v>4.31</v>
      </c>
      <c r="M126" s="101">
        <v>4.31</v>
      </c>
      <c r="N126" s="138">
        <f t="shared" si="22"/>
        <v>51.70876</v>
      </c>
    </row>
    <row r="127" spans="1:14" ht="12.75">
      <c r="A127" s="2" t="s">
        <v>137</v>
      </c>
      <c r="B127" s="101">
        <v>30</v>
      </c>
      <c r="C127" s="102">
        <v>30</v>
      </c>
      <c r="D127" s="102">
        <v>30</v>
      </c>
      <c r="E127" s="102">
        <v>30</v>
      </c>
      <c r="F127" s="101">
        <v>30</v>
      </c>
      <c r="G127" s="101">
        <v>30</v>
      </c>
      <c r="H127" s="101">
        <v>30</v>
      </c>
      <c r="I127" s="101">
        <v>30</v>
      </c>
      <c r="J127" s="101">
        <v>30</v>
      </c>
      <c r="K127" s="101">
        <v>30</v>
      </c>
      <c r="L127" s="101">
        <v>30</v>
      </c>
      <c r="M127" s="101">
        <v>30</v>
      </c>
      <c r="N127" s="138">
        <f t="shared" si="22"/>
        <v>360</v>
      </c>
    </row>
    <row r="128" spans="1:14" ht="12.75">
      <c r="A128" s="2" t="s">
        <v>138</v>
      </c>
      <c r="B128" s="101">
        <v>1</v>
      </c>
      <c r="C128" s="102">
        <v>1</v>
      </c>
      <c r="D128" s="102">
        <v>1</v>
      </c>
      <c r="E128" s="102">
        <v>1</v>
      </c>
      <c r="F128" s="101">
        <v>1</v>
      </c>
      <c r="G128" s="101">
        <v>1</v>
      </c>
      <c r="H128" s="101">
        <v>1</v>
      </c>
      <c r="I128" s="101">
        <v>1</v>
      </c>
      <c r="J128" s="101">
        <v>1</v>
      </c>
      <c r="K128" s="101">
        <v>1</v>
      </c>
      <c r="L128" s="101">
        <v>1</v>
      </c>
      <c r="M128" s="101">
        <v>1</v>
      </c>
      <c r="N128" s="138">
        <f t="shared" si="22"/>
        <v>12</v>
      </c>
    </row>
    <row r="129" spans="1:14" ht="12.75">
      <c r="A129" s="2" t="s">
        <v>139</v>
      </c>
      <c r="B129" s="101">
        <v>10</v>
      </c>
      <c r="C129" s="102">
        <v>10</v>
      </c>
      <c r="D129" s="102">
        <v>10</v>
      </c>
      <c r="E129" s="102">
        <v>10</v>
      </c>
      <c r="F129" s="101">
        <v>10</v>
      </c>
      <c r="G129" s="101">
        <v>10</v>
      </c>
      <c r="H129" s="101">
        <v>10</v>
      </c>
      <c r="I129" s="101">
        <v>10</v>
      </c>
      <c r="J129" s="101">
        <v>10</v>
      </c>
      <c r="K129" s="101">
        <v>10</v>
      </c>
      <c r="L129" s="101">
        <v>10</v>
      </c>
      <c r="M129" s="101">
        <v>10</v>
      </c>
      <c r="N129" s="138">
        <f t="shared" si="22"/>
        <v>120</v>
      </c>
    </row>
    <row r="130" spans="1:14" ht="12.75">
      <c r="A130" s="2" t="s">
        <v>151</v>
      </c>
      <c r="B130" s="101">
        <v>1.17</v>
      </c>
      <c r="C130" s="102">
        <v>1.17</v>
      </c>
      <c r="D130" s="102">
        <v>1.17</v>
      </c>
      <c r="E130" s="102">
        <v>1.17</v>
      </c>
      <c r="F130" s="101">
        <v>1.17</v>
      </c>
      <c r="G130" s="101">
        <v>1.17</v>
      </c>
      <c r="H130" s="101">
        <v>1.17</v>
      </c>
      <c r="I130" s="101">
        <v>1.17</v>
      </c>
      <c r="J130" s="101">
        <v>1.17</v>
      </c>
      <c r="K130" s="101">
        <v>1.17</v>
      </c>
      <c r="L130" s="101">
        <v>1.17</v>
      </c>
      <c r="M130" s="101">
        <v>1.17</v>
      </c>
      <c r="N130" s="138">
        <f t="shared" si="22"/>
        <v>14.04</v>
      </c>
    </row>
    <row r="131" spans="1:14" ht="12.75">
      <c r="A131" s="2" t="s">
        <v>140</v>
      </c>
      <c r="B131" s="104"/>
      <c r="C131" s="105"/>
      <c r="D131" s="102"/>
      <c r="E131" s="102"/>
      <c r="F131" s="101"/>
      <c r="G131" s="101"/>
      <c r="H131" s="101"/>
      <c r="I131" s="102"/>
      <c r="J131" s="101"/>
      <c r="K131" s="101"/>
      <c r="L131" s="101"/>
      <c r="M131" s="101"/>
      <c r="N131" s="138">
        <f t="shared" si="22"/>
        <v>0</v>
      </c>
    </row>
    <row r="132" spans="1:14" ht="15.75">
      <c r="A132" s="78" t="s">
        <v>155</v>
      </c>
      <c r="B132" s="101"/>
      <c r="C132" s="102"/>
      <c r="D132" s="102"/>
      <c r="E132" s="102"/>
      <c r="F132" s="101"/>
      <c r="G132" s="101"/>
      <c r="H132" s="101"/>
      <c r="I132" s="102"/>
      <c r="J132" s="101"/>
      <c r="K132" s="101"/>
      <c r="L132" s="101"/>
      <c r="M132" s="101"/>
      <c r="N132" s="138">
        <f t="shared" si="22"/>
        <v>0</v>
      </c>
    </row>
    <row r="133" spans="1:14" ht="12.75">
      <c r="A133" s="2" t="s">
        <v>158</v>
      </c>
      <c r="B133" s="101">
        <f>'Производство продукции'!J545</f>
        <v>846.09</v>
      </c>
      <c r="C133" s="102">
        <f>'Производство продукции'!J545</f>
        <v>846.09</v>
      </c>
      <c r="D133" s="102">
        <f>C133</f>
        <v>846.09</v>
      </c>
      <c r="E133" s="102">
        <f aca="true" t="shared" si="26" ref="E133:K133">D133</f>
        <v>846.09</v>
      </c>
      <c r="F133" s="101">
        <f t="shared" si="26"/>
        <v>846.09</v>
      </c>
      <c r="G133" s="101">
        <f t="shared" si="26"/>
        <v>846.09</v>
      </c>
      <c r="H133" s="101">
        <f t="shared" si="26"/>
        <v>846.09</v>
      </c>
      <c r="I133" s="101">
        <f t="shared" si="26"/>
        <v>846.09</v>
      </c>
      <c r="J133" s="101">
        <f t="shared" si="26"/>
        <v>846.09</v>
      </c>
      <c r="K133" s="101">
        <f t="shared" si="26"/>
        <v>846.09</v>
      </c>
      <c r="L133" s="101">
        <f>K133</f>
        <v>846.09</v>
      </c>
      <c r="M133" s="101">
        <f>L133</f>
        <v>846.09</v>
      </c>
      <c r="N133" s="138">
        <f t="shared" si="22"/>
        <v>10153.08</v>
      </c>
    </row>
    <row r="134" spans="1:14" ht="12.75">
      <c r="A134" s="2" t="s">
        <v>148</v>
      </c>
      <c r="B134" s="101">
        <f>'Производство продукции'!M519</f>
        <v>20</v>
      </c>
      <c r="C134" s="102">
        <f>'Производство продукции'!M545</f>
        <v>20</v>
      </c>
      <c r="D134" s="102">
        <f>C134</f>
        <v>20</v>
      </c>
      <c r="E134" s="102">
        <f aca="true" t="shared" si="27" ref="E134:K134">D134</f>
        <v>20</v>
      </c>
      <c r="F134" s="101">
        <f t="shared" si="27"/>
        <v>20</v>
      </c>
      <c r="G134" s="101">
        <f t="shared" si="27"/>
        <v>20</v>
      </c>
      <c r="H134" s="101">
        <f t="shared" si="27"/>
        <v>20</v>
      </c>
      <c r="I134" s="101">
        <f t="shared" si="27"/>
        <v>20</v>
      </c>
      <c r="J134" s="101">
        <f t="shared" si="27"/>
        <v>20</v>
      </c>
      <c r="K134" s="101">
        <f t="shared" si="27"/>
        <v>20</v>
      </c>
      <c r="L134" s="101">
        <v>20</v>
      </c>
      <c r="M134" s="101">
        <v>20</v>
      </c>
      <c r="N134" s="138">
        <f t="shared" si="22"/>
        <v>240</v>
      </c>
    </row>
    <row r="135" spans="1:14" ht="12.75">
      <c r="A135" s="2" t="s">
        <v>141</v>
      </c>
      <c r="B135" s="101">
        <v>0</v>
      </c>
      <c r="C135" s="102">
        <v>0</v>
      </c>
      <c r="D135" s="102">
        <f>C135</f>
        <v>0</v>
      </c>
      <c r="E135" s="102">
        <f aca="true" t="shared" si="28" ref="E135:K135">D135</f>
        <v>0</v>
      </c>
      <c r="F135" s="101">
        <f t="shared" si="28"/>
        <v>0</v>
      </c>
      <c r="G135" s="101">
        <f t="shared" si="28"/>
        <v>0</v>
      </c>
      <c r="H135" s="101">
        <f t="shared" si="28"/>
        <v>0</v>
      </c>
      <c r="I135" s="101">
        <f t="shared" si="28"/>
        <v>0</v>
      </c>
      <c r="J135" s="101">
        <f t="shared" si="28"/>
        <v>0</v>
      </c>
      <c r="K135" s="101">
        <f t="shared" si="28"/>
        <v>0</v>
      </c>
      <c r="L135" s="101">
        <v>0</v>
      </c>
      <c r="M135" s="101">
        <v>0</v>
      </c>
      <c r="N135" s="138">
        <f t="shared" si="22"/>
        <v>0</v>
      </c>
    </row>
    <row r="136" spans="1:14" ht="13.5" thickBot="1">
      <c r="A136" s="108" t="s">
        <v>160</v>
      </c>
      <c r="B136" s="109">
        <f>'Производство продукции'!Q519</f>
        <v>40</v>
      </c>
      <c r="C136" s="110">
        <f>'Производство продукции'!Q545</f>
        <v>40</v>
      </c>
      <c r="D136" s="110">
        <f>C136</f>
        <v>40</v>
      </c>
      <c r="E136" s="110">
        <f aca="true" t="shared" si="29" ref="E136:K136">D136</f>
        <v>40</v>
      </c>
      <c r="F136" s="109">
        <f t="shared" si="29"/>
        <v>40</v>
      </c>
      <c r="G136" s="109">
        <f t="shared" si="29"/>
        <v>40</v>
      </c>
      <c r="H136" s="109">
        <f t="shared" si="29"/>
        <v>40</v>
      </c>
      <c r="I136" s="109">
        <f t="shared" si="29"/>
        <v>40</v>
      </c>
      <c r="J136" s="109">
        <f t="shared" si="29"/>
        <v>40</v>
      </c>
      <c r="K136" s="109">
        <f t="shared" si="29"/>
        <v>40</v>
      </c>
      <c r="L136" s="109">
        <v>40</v>
      </c>
      <c r="M136" s="109">
        <v>40</v>
      </c>
      <c r="N136" s="139">
        <f t="shared" si="22"/>
        <v>480</v>
      </c>
    </row>
    <row r="137" spans="1:15" ht="16.5" thickBot="1">
      <c r="A137" s="115" t="s">
        <v>142</v>
      </c>
      <c r="B137" s="121">
        <f>SUM(B133:B136)</f>
        <v>906.09</v>
      </c>
      <c r="C137" s="122">
        <f aca="true" t="shared" si="30" ref="C137:K137">SUM(C133:C136)</f>
        <v>906.09</v>
      </c>
      <c r="D137" s="122">
        <f t="shared" si="30"/>
        <v>906.09</v>
      </c>
      <c r="E137" s="122">
        <f t="shared" si="30"/>
        <v>906.09</v>
      </c>
      <c r="F137" s="121">
        <f t="shared" si="30"/>
        <v>906.09</v>
      </c>
      <c r="G137" s="121">
        <f t="shared" si="30"/>
        <v>906.09</v>
      </c>
      <c r="H137" s="121">
        <f t="shared" si="30"/>
        <v>906.09</v>
      </c>
      <c r="I137" s="121">
        <f t="shared" si="30"/>
        <v>906.09</v>
      </c>
      <c r="J137" s="121">
        <f t="shared" si="30"/>
        <v>906.09</v>
      </c>
      <c r="K137" s="121">
        <f t="shared" si="30"/>
        <v>906.09</v>
      </c>
      <c r="L137" s="121">
        <f>SUM(L133:L136)</f>
        <v>906.09</v>
      </c>
      <c r="M137" s="121">
        <f>SUM(M133:M136)</f>
        <v>906.09</v>
      </c>
      <c r="N137" s="136">
        <f t="shared" si="22"/>
        <v>10873.08</v>
      </c>
      <c r="O137" s="91"/>
    </row>
    <row r="138" spans="1:15" ht="15.75">
      <c r="A138" s="147" t="s">
        <v>172</v>
      </c>
      <c r="B138" s="112">
        <v>124.54</v>
      </c>
      <c r="C138" s="112">
        <v>124.54</v>
      </c>
      <c r="D138" s="112">
        <v>124.54</v>
      </c>
      <c r="E138" s="112">
        <v>124.54</v>
      </c>
      <c r="F138" s="112">
        <v>124.54</v>
      </c>
      <c r="G138" s="112">
        <v>124.54</v>
      </c>
      <c r="H138" s="112">
        <v>124.54</v>
      </c>
      <c r="I138" s="112">
        <v>124.54</v>
      </c>
      <c r="J138" s="112">
        <v>124.54</v>
      </c>
      <c r="K138" s="112">
        <v>124.54</v>
      </c>
      <c r="L138" s="112">
        <v>124.54</v>
      </c>
      <c r="M138" s="112">
        <v>124.54</v>
      </c>
      <c r="N138" s="148">
        <f>SUM(B138:M138)</f>
        <v>1494.4799999999998</v>
      </c>
      <c r="O138" s="91"/>
    </row>
    <row r="139" spans="1:15" ht="13.5" thickBot="1">
      <c r="A139" s="149" t="s">
        <v>170</v>
      </c>
      <c r="B139" s="109">
        <f aca="true" t="shared" si="31" ref="B139:I139">(B137-B119)*6%</f>
        <v>54.3654</v>
      </c>
      <c r="C139" s="109">
        <f t="shared" si="31"/>
        <v>54.3654</v>
      </c>
      <c r="D139" s="109">
        <f t="shared" si="31"/>
        <v>54.3654</v>
      </c>
      <c r="E139" s="109">
        <f t="shared" si="31"/>
        <v>54.3654</v>
      </c>
      <c r="F139" s="109">
        <f t="shared" si="31"/>
        <v>54.3654</v>
      </c>
      <c r="G139" s="109">
        <f t="shared" si="31"/>
        <v>54.3654</v>
      </c>
      <c r="H139" s="109">
        <f t="shared" si="31"/>
        <v>54.3654</v>
      </c>
      <c r="I139" s="109">
        <f t="shared" si="31"/>
        <v>54.3654</v>
      </c>
      <c r="J139" s="109">
        <f>(J137-J119)*6%</f>
        <v>54.3654</v>
      </c>
      <c r="K139" s="109">
        <f>(K137-K119)*6%</f>
        <v>54.3654</v>
      </c>
      <c r="L139" s="109">
        <f>(L137-L119)*6%</f>
        <v>54.3654</v>
      </c>
      <c r="M139" s="109">
        <f>(M137-M119)*6%</f>
        <v>54.3654</v>
      </c>
      <c r="N139" s="139">
        <f>SUM(B139:M139)</f>
        <v>652.3848000000002</v>
      </c>
      <c r="O139" s="91"/>
    </row>
    <row r="140" spans="1:15" ht="15.75" thickBot="1">
      <c r="A140" s="115" t="s">
        <v>171</v>
      </c>
      <c r="B140" s="121">
        <f aca="true" t="shared" si="32" ref="B140:M140">B137-B120-B138-B139</f>
        <v>600.059294</v>
      </c>
      <c r="C140" s="121">
        <f t="shared" si="32"/>
        <v>598.199534</v>
      </c>
      <c r="D140" s="121">
        <f t="shared" si="32"/>
        <v>598.199534</v>
      </c>
      <c r="E140" s="121">
        <f t="shared" si="32"/>
        <v>598.199534</v>
      </c>
      <c r="F140" s="121">
        <f t="shared" si="32"/>
        <v>588.1995340000001</v>
      </c>
      <c r="G140" s="121">
        <f t="shared" si="32"/>
        <v>598.199534</v>
      </c>
      <c r="H140" s="121">
        <f t="shared" si="32"/>
        <v>598.199534</v>
      </c>
      <c r="I140" s="121">
        <f t="shared" si="32"/>
        <v>598.199534</v>
      </c>
      <c r="J140" s="121">
        <f t="shared" si="32"/>
        <v>598.199534</v>
      </c>
      <c r="K140" s="121">
        <f t="shared" si="32"/>
        <v>598.199534</v>
      </c>
      <c r="L140" s="121">
        <f t="shared" si="32"/>
        <v>588.2021000000001</v>
      </c>
      <c r="M140" s="121">
        <f t="shared" si="32"/>
        <v>598.2021000000001</v>
      </c>
      <c r="N140" s="150">
        <f>SUM(B140:M140)</f>
        <v>7160.2593000000015</v>
      </c>
      <c r="O140" s="91"/>
    </row>
    <row r="141" spans="1:15" ht="15">
      <c r="A141" s="134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236"/>
      <c r="O141" s="91"/>
    </row>
    <row r="142" spans="1:15" ht="15">
      <c r="A142" s="402" t="s">
        <v>248</v>
      </c>
      <c r="B142" s="402"/>
      <c r="C142" s="402"/>
      <c r="D142" s="402"/>
      <c r="E142" s="402"/>
      <c r="F142" s="135"/>
      <c r="G142" s="135"/>
      <c r="H142" s="135"/>
      <c r="I142" s="135"/>
      <c r="J142" s="135"/>
      <c r="K142" s="135"/>
      <c r="L142" s="135"/>
      <c r="M142" s="135"/>
      <c r="N142" s="236"/>
      <c r="O142" s="91"/>
    </row>
    <row r="143" spans="2:14" ht="12.75">
      <c r="B143" s="104"/>
      <c r="C143" s="105"/>
      <c r="D143" s="105"/>
      <c r="E143" s="105"/>
      <c r="F143" s="104"/>
      <c r="G143" s="104"/>
      <c r="H143" s="104"/>
      <c r="I143" s="104"/>
      <c r="J143" s="104"/>
      <c r="K143" s="104"/>
      <c r="L143" s="104"/>
      <c r="M143" s="104"/>
      <c r="N143" s="140"/>
    </row>
    <row r="144" spans="1:14" ht="12.75" customHeight="1">
      <c r="A144" s="77"/>
      <c r="B144" s="403" t="s">
        <v>146</v>
      </c>
      <c r="C144" s="404"/>
      <c r="D144" s="404"/>
      <c r="E144" s="404"/>
      <c r="F144" s="404"/>
      <c r="G144" s="404"/>
      <c r="H144" s="404"/>
      <c r="I144" s="404"/>
      <c r="J144" s="404"/>
      <c r="K144" s="404"/>
      <c r="L144" s="404"/>
      <c r="M144" s="405"/>
      <c r="N144" s="406" t="s">
        <v>286</v>
      </c>
    </row>
    <row r="145" spans="1:14" ht="12.75">
      <c r="A145" s="77" t="s">
        <v>154</v>
      </c>
      <c r="B145" s="106">
        <v>1</v>
      </c>
      <c r="C145" s="107">
        <v>2</v>
      </c>
      <c r="D145" s="107">
        <v>3</v>
      </c>
      <c r="E145" s="107">
        <v>4</v>
      </c>
      <c r="F145" s="106">
        <v>5</v>
      </c>
      <c r="G145" s="106">
        <v>6</v>
      </c>
      <c r="H145" s="106">
        <v>7</v>
      </c>
      <c r="I145" s="107">
        <v>8</v>
      </c>
      <c r="J145" s="106">
        <v>9</v>
      </c>
      <c r="K145" s="106">
        <v>10</v>
      </c>
      <c r="L145" s="106">
        <v>11</v>
      </c>
      <c r="M145" s="106">
        <v>12</v>
      </c>
      <c r="N145" s="407"/>
    </row>
    <row r="146" spans="1:14" ht="16.5" thickBot="1">
      <c r="A146" s="124" t="s">
        <v>156</v>
      </c>
      <c r="B146" s="109"/>
      <c r="C146" s="110"/>
      <c r="D146" s="110"/>
      <c r="E146" s="110"/>
      <c r="F146" s="109"/>
      <c r="G146" s="109"/>
      <c r="H146" s="109"/>
      <c r="I146" s="110"/>
      <c r="J146" s="109"/>
      <c r="K146" s="109"/>
      <c r="L146" s="109"/>
      <c r="M146" s="109"/>
      <c r="N146" s="139"/>
    </row>
    <row r="147" spans="1:14" ht="16.5" thickBot="1">
      <c r="A147" s="115" t="s">
        <v>157</v>
      </c>
      <c r="B147" s="116">
        <f aca="true" t="shared" si="33" ref="B147:M147">SUM(B148:B158)</f>
        <v>128.9825</v>
      </c>
      <c r="C147" s="116">
        <f t="shared" si="33"/>
        <v>128.9825</v>
      </c>
      <c r="D147" s="116">
        <f t="shared" si="33"/>
        <v>128.9825</v>
      </c>
      <c r="E147" s="116">
        <f t="shared" si="33"/>
        <v>128.9825</v>
      </c>
      <c r="F147" s="116">
        <f t="shared" si="33"/>
        <v>138.9825</v>
      </c>
      <c r="G147" s="116">
        <f t="shared" si="33"/>
        <v>128.9825</v>
      </c>
      <c r="H147" s="116">
        <f t="shared" si="33"/>
        <v>128.9825</v>
      </c>
      <c r="I147" s="116">
        <f t="shared" si="33"/>
        <v>128.9825</v>
      </c>
      <c r="J147" s="116">
        <f t="shared" si="33"/>
        <v>128.9825</v>
      </c>
      <c r="K147" s="116">
        <f t="shared" si="33"/>
        <v>128.9825</v>
      </c>
      <c r="L147" s="116">
        <f t="shared" si="33"/>
        <v>138.9825</v>
      </c>
      <c r="M147" s="116">
        <f t="shared" si="33"/>
        <v>128.9825</v>
      </c>
      <c r="N147" s="136">
        <f aca="true" t="shared" si="34" ref="N147:N158">SUM(B147:M147)</f>
        <v>1567.7900000000002</v>
      </c>
    </row>
    <row r="148" spans="1:15" ht="12.75">
      <c r="A148" s="35" t="s">
        <v>132</v>
      </c>
      <c r="B148" s="112">
        <v>56.55</v>
      </c>
      <c r="C148" s="113">
        <v>56.55</v>
      </c>
      <c r="D148" s="113">
        <v>56.55</v>
      </c>
      <c r="E148" s="113">
        <v>56.55</v>
      </c>
      <c r="F148" s="112">
        <v>56.55</v>
      </c>
      <c r="G148" s="112">
        <v>56.55</v>
      </c>
      <c r="H148" s="112">
        <v>56.55</v>
      </c>
      <c r="I148" s="112">
        <v>56.55</v>
      </c>
      <c r="J148" s="112">
        <v>56.55</v>
      </c>
      <c r="K148" s="112">
        <v>56.55</v>
      </c>
      <c r="L148" s="112">
        <v>56.55</v>
      </c>
      <c r="M148" s="112">
        <v>56.55</v>
      </c>
      <c r="N148" s="137">
        <f t="shared" si="34"/>
        <v>678.5999999999999</v>
      </c>
      <c r="O148" s="98"/>
    </row>
    <row r="149" spans="1:14" ht="12.75">
      <c r="A149" s="2" t="s">
        <v>133</v>
      </c>
      <c r="B149" s="101">
        <f>M122</f>
        <v>11.5025</v>
      </c>
      <c r="C149" s="102">
        <f>B149</f>
        <v>11.5025</v>
      </c>
      <c r="D149" s="102">
        <f aca="true" t="shared" si="35" ref="D149:M149">C149</f>
        <v>11.5025</v>
      </c>
      <c r="E149" s="102">
        <f t="shared" si="35"/>
        <v>11.5025</v>
      </c>
      <c r="F149" s="102">
        <f t="shared" si="35"/>
        <v>11.5025</v>
      </c>
      <c r="G149" s="102">
        <f t="shared" si="35"/>
        <v>11.5025</v>
      </c>
      <c r="H149" s="102">
        <f t="shared" si="35"/>
        <v>11.5025</v>
      </c>
      <c r="I149" s="102">
        <f t="shared" si="35"/>
        <v>11.5025</v>
      </c>
      <c r="J149" s="102">
        <f t="shared" si="35"/>
        <v>11.5025</v>
      </c>
      <c r="K149" s="102">
        <f t="shared" si="35"/>
        <v>11.5025</v>
      </c>
      <c r="L149" s="102">
        <f t="shared" si="35"/>
        <v>11.5025</v>
      </c>
      <c r="M149" s="102">
        <f t="shared" si="35"/>
        <v>11.5025</v>
      </c>
      <c r="N149" s="138">
        <f t="shared" si="34"/>
        <v>138.03</v>
      </c>
    </row>
    <row r="150" spans="1:14" ht="12.75">
      <c r="A150" s="2" t="s">
        <v>134</v>
      </c>
      <c r="B150" s="101">
        <v>5</v>
      </c>
      <c r="C150" s="102">
        <v>5</v>
      </c>
      <c r="D150" s="102">
        <v>5</v>
      </c>
      <c r="E150" s="102">
        <v>5</v>
      </c>
      <c r="F150" s="101">
        <v>5</v>
      </c>
      <c r="G150" s="101">
        <v>5</v>
      </c>
      <c r="H150" s="101">
        <v>5</v>
      </c>
      <c r="I150" s="101">
        <v>5</v>
      </c>
      <c r="J150" s="101">
        <v>5</v>
      </c>
      <c r="K150" s="101">
        <v>5</v>
      </c>
      <c r="L150" s="101">
        <v>5</v>
      </c>
      <c r="M150" s="101">
        <v>5</v>
      </c>
      <c r="N150" s="138">
        <f t="shared" si="34"/>
        <v>60</v>
      </c>
    </row>
    <row r="151" spans="1:14" ht="12.75">
      <c r="A151" s="2" t="s">
        <v>135</v>
      </c>
      <c r="B151" s="101">
        <v>0</v>
      </c>
      <c r="C151" s="102">
        <v>0</v>
      </c>
      <c r="D151" s="102">
        <v>0</v>
      </c>
      <c r="E151" s="102">
        <v>0</v>
      </c>
      <c r="F151" s="101">
        <v>10</v>
      </c>
      <c r="G151" s="101">
        <v>0</v>
      </c>
      <c r="H151" s="101">
        <v>0</v>
      </c>
      <c r="I151" s="101">
        <v>0</v>
      </c>
      <c r="J151" s="101">
        <v>0</v>
      </c>
      <c r="K151" s="101">
        <v>0</v>
      </c>
      <c r="L151" s="101">
        <v>10</v>
      </c>
      <c r="M151" s="101">
        <v>0</v>
      </c>
      <c r="N151" s="138">
        <f t="shared" si="34"/>
        <v>20</v>
      </c>
    </row>
    <row r="152" spans="1:14" ht="12.75">
      <c r="A152" s="2" t="s">
        <v>136</v>
      </c>
      <c r="B152" s="101">
        <v>9.45</v>
      </c>
      <c r="C152" s="102">
        <v>9.45</v>
      </c>
      <c r="D152" s="102">
        <v>9.45</v>
      </c>
      <c r="E152" s="102">
        <v>9.45</v>
      </c>
      <c r="F152" s="101">
        <v>9.45</v>
      </c>
      <c r="G152" s="101">
        <v>9.45</v>
      </c>
      <c r="H152" s="101">
        <v>9.45</v>
      </c>
      <c r="I152" s="101">
        <v>9.45</v>
      </c>
      <c r="J152" s="101">
        <v>9.45</v>
      </c>
      <c r="K152" s="101">
        <v>9.45</v>
      </c>
      <c r="L152" s="101">
        <v>9.45</v>
      </c>
      <c r="M152" s="101">
        <v>9.45</v>
      </c>
      <c r="N152" s="138">
        <f t="shared" si="34"/>
        <v>113.40000000000002</v>
      </c>
    </row>
    <row r="153" spans="1:14" ht="12.75">
      <c r="A153" s="2" t="s">
        <v>114</v>
      </c>
      <c r="B153" s="101">
        <v>4.31</v>
      </c>
      <c r="C153" s="102">
        <v>4.31</v>
      </c>
      <c r="D153" s="102">
        <v>4.31</v>
      </c>
      <c r="E153" s="102">
        <v>4.31</v>
      </c>
      <c r="F153" s="101">
        <v>4.31</v>
      </c>
      <c r="G153" s="101">
        <v>4.31</v>
      </c>
      <c r="H153" s="101">
        <v>4.31</v>
      </c>
      <c r="I153" s="101">
        <v>4.31</v>
      </c>
      <c r="J153" s="101">
        <v>4.31</v>
      </c>
      <c r="K153" s="101">
        <v>4.31</v>
      </c>
      <c r="L153" s="101">
        <v>4.31</v>
      </c>
      <c r="M153" s="101">
        <v>4.31</v>
      </c>
      <c r="N153" s="138">
        <f t="shared" si="34"/>
        <v>51.720000000000006</v>
      </c>
    </row>
    <row r="154" spans="1:14" ht="12.75">
      <c r="A154" s="2" t="s">
        <v>137</v>
      </c>
      <c r="B154" s="101">
        <v>30</v>
      </c>
      <c r="C154" s="102">
        <v>30</v>
      </c>
      <c r="D154" s="102">
        <v>30</v>
      </c>
      <c r="E154" s="102">
        <v>30</v>
      </c>
      <c r="F154" s="101">
        <v>30</v>
      </c>
      <c r="G154" s="101">
        <v>30</v>
      </c>
      <c r="H154" s="101">
        <v>30</v>
      </c>
      <c r="I154" s="101">
        <v>30</v>
      </c>
      <c r="J154" s="101">
        <v>30</v>
      </c>
      <c r="K154" s="101">
        <v>30</v>
      </c>
      <c r="L154" s="101">
        <v>30</v>
      </c>
      <c r="M154" s="101">
        <v>30</v>
      </c>
      <c r="N154" s="138">
        <f t="shared" si="34"/>
        <v>360</v>
      </c>
    </row>
    <row r="155" spans="1:14" ht="12.75">
      <c r="A155" s="2" t="s">
        <v>138</v>
      </c>
      <c r="B155" s="101">
        <v>1</v>
      </c>
      <c r="C155" s="102">
        <v>1</v>
      </c>
      <c r="D155" s="102">
        <v>1</v>
      </c>
      <c r="E155" s="102">
        <v>1</v>
      </c>
      <c r="F155" s="101">
        <v>1</v>
      </c>
      <c r="G155" s="101">
        <v>1</v>
      </c>
      <c r="H155" s="101">
        <v>1</v>
      </c>
      <c r="I155" s="101">
        <v>1</v>
      </c>
      <c r="J155" s="101">
        <v>1</v>
      </c>
      <c r="K155" s="101">
        <v>1</v>
      </c>
      <c r="L155" s="101">
        <v>1</v>
      </c>
      <c r="M155" s="101">
        <v>1</v>
      </c>
      <c r="N155" s="138">
        <f t="shared" si="34"/>
        <v>12</v>
      </c>
    </row>
    <row r="156" spans="1:14" ht="12.75">
      <c r="A156" s="2" t="s">
        <v>139</v>
      </c>
      <c r="B156" s="101">
        <v>10</v>
      </c>
      <c r="C156" s="102">
        <v>10</v>
      </c>
      <c r="D156" s="102">
        <v>10</v>
      </c>
      <c r="E156" s="102">
        <v>10</v>
      </c>
      <c r="F156" s="101">
        <v>10</v>
      </c>
      <c r="G156" s="101">
        <v>10</v>
      </c>
      <c r="H156" s="101">
        <v>10</v>
      </c>
      <c r="I156" s="101">
        <v>10</v>
      </c>
      <c r="J156" s="101">
        <v>10</v>
      </c>
      <c r="K156" s="101">
        <v>10</v>
      </c>
      <c r="L156" s="101">
        <v>10</v>
      </c>
      <c r="M156" s="101">
        <v>10</v>
      </c>
      <c r="N156" s="138">
        <f t="shared" si="34"/>
        <v>120</v>
      </c>
    </row>
    <row r="157" spans="1:14" ht="12.75">
      <c r="A157" s="2" t="s">
        <v>151</v>
      </c>
      <c r="B157" s="101">
        <v>1.17</v>
      </c>
      <c r="C157" s="102">
        <v>1.17</v>
      </c>
      <c r="D157" s="102">
        <v>1.17</v>
      </c>
      <c r="E157" s="102">
        <v>1.17</v>
      </c>
      <c r="F157" s="101">
        <v>1.17</v>
      </c>
      <c r="G157" s="101">
        <v>1.17</v>
      </c>
      <c r="H157" s="101">
        <v>1.17</v>
      </c>
      <c r="I157" s="101">
        <v>1.17</v>
      </c>
      <c r="J157" s="101">
        <v>1.17</v>
      </c>
      <c r="K157" s="101">
        <v>1.17</v>
      </c>
      <c r="L157" s="101">
        <v>1.17</v>
      </c>
      <c r="M157" s="101">
        <v>1.17</v>
      </c>
      <c r="N157" s="138">
        <f t="shared" si="34"/>
        <v>14.04</v>
      </c>
    </row>
    <row r="158" spans="1:14" ht="12.75">
      <c r="A158" s="2" t="s">
        <v>140</v>
      </c>
      <c r="B158" s="101"/>
      <c r="C158" s="102"/>
      <c r="D158" s="102"/>
      <c r="E158" s="102"/>
      <c r="F158" s="101"/>
      <c r="G158" s="102"/>
      <c r="H158" s="101"/>
      <c r="I158" s="101"/>
      <c r="J158" s="101"/>
      <c r="K158" s="101"/>
      <c r="L158" s="101"/>
      <c r="M158" s="101"/>
      <c r="N158" s="138">
        <f t="shared" si="34"/>
        <v>0</v>
      </c>
    </row>
    <row r="159" spans="1:14" ht="15.75">
      <c r="A159" s="78" t="s">
        <v>155</v>
      </c>
      <c r="B159" s="101"/>
      <c r="C159" s="102"/>
      <c r="D159" s="102"/>
      <c r="E159" s="102"/>
      <c r="F159" s="101"/>
      <c r="G159" s="101"/>
      <c r="H159" s="101"/>
      <c r="I159" s="102"/>
      <c r="J159" s="101"/>
      <c r="K159" s="101"/>
      <c r="L159" s="101"/>
      <c r="M159" s="101"/>
      <c r="N159" s="138">
        <f aca="true" t="shared" si="36" ref="N159:N164">SUM(B159:M159)</f>
        <v>0</v>
      </c>
    </row>
    <row r="160" spans="1:14" ht="12.75">
      <c r="A160" s="2" t="s">
        <v>158</v>
      </c>
      <c r="B160" s="102">
        <f>B133</f>
        <v>846.09</v>
      </c>
      <c r="C160" s="102">
        <f>B160</f>
        <v>846.09</v>
      </c>
      <c r="D160" s="102">
        <f>C160</f>
        <v>846.09</v>
      </c>
      <c r="E160" s="102">
        <f aca="true" t="shared" si="37" ref="E160:M160">D160</f>
        <v>846.09</v>
      </c>
      <c r="F160" s="102">
        <f t="shared" si="37"/>
        <v>846.09</v>
      </c>
      <c r="G160" s="102">
        <f t="shared" si="37"/>
        <v>846.09</v>
      </c>
      <c r="H160" s="102">
        <f t="shared" si="37"/>
        <v>846.09</v>
      </c>
      <c r="I160" s="102">
        <f t="shared" si="37"/>
        <v>846.09</v>
      </c>
      <c r="J160" s="102">
        <f t="shared" si="37"/>
        <v>846.09</v>
      </c>
      <c r="K160" s="102">
        <f t="shared" si="37"/>
        <v>846.09</v>
      </c>
      <c r="L160" s="102">
        <f t="shared" si="37"/>
        <v>846.09</v>
      </c>
      <c r="M160" s="102">
        <f t="shared" si="37"/>
        <v>846.09</v>
      </c>
      <c r="N160" s="138">
        <f t="shared" si="36"/>
        <v>10153.08</v>
      </c>
    </row>
    <row r="161" spans="1:14" ht="12.75">
      <c r="A161" s="2" t="s">
        <v>148</v>
      </c>
      <c r="B161" s="101">
        <v>20</v>
      </c>
      <c r="C161" s="102">
        <v>20</v>
      </c>
      <c r="D161" s="102">
        <v>20</v>
      </c>
      <c r="E161" s="102">
        <v>20</v>
      </c>
      <c r="F161" s="101">
        <v>20</v>
      </c>
      <c r="G161" s="101">
        <v>20</v>
      </c>
      <c r="H161" s="101">
        <v>20</v>
      </c>
      <c r="I161" s="101">
        <v>20</v>
      </c>
      <c r="J161" s="101">
        <v>20</v>
      </c>
      <c r="K161" s="101">
        <v>20</v>
      </c>
      <c r="L161" s="101">
        <v>20</v>
      </c>
      <c r="M161" s="101">
        <v>20</v>
      </c>
      <c r="N161" s="138">
        <f t="shared" si="36"/>
        <v>240</v>
      </c>
    </row>
    <row r="162" spans="1:14" ht="12.75">
      <c r="A162" s="2" t="s">
        <v>141</v>
      </c>
      <c r="B162" s="101">
        <v>0</v>
      </c>
      <c r="C162" s="102">
        <v>0</v>
      </c>
      <c r="D162" s="102">
        <v>0</v>
      </c>
      <c r="E162" s="102">
        <v>0</v>
      </c>
      <c r="F162" s="101">
        <v>0</v>
      </c>
      <c r="G162" s="101">
        <v>0</v>
      </c>
      <c r="H162" s="101">
        <v>0</v>
      </c>
      <c r="I162" s="101">
        <v>0</v>
      </c>
      <c r="J162" s="101">
        <v>0</v>
      </c>
      <c r="K162" s="101">
        <v>0</v>
      </c>
      <c r="L162" s="101">
        <v>0</v>
      </c>
      <c r="M162" s="101">
        <v>0</v>
      </c>
      <c r="N162" s="138">
        <f t="shared" si="36"/>
        <v>0</v>
      </c>
    </row>
    <row r="163" spans="1:14" ht="13.5" thickBot="1">
      <c r="A163" s="108" t="s">
        <v>160</v>
      </c>
      <c r="B163" s="109">
        <v>40</v>
      </c>
      <c r="C163" s="110">
        <v>40</v>
      </c>
      <c r="D163" s="110">
        <v>40</v>
      </c>
      <c r="E163" s="110">
        <v>40</v>
      </c>
      <c r="F163" s="109">
        <v>40</v>
      </c>
      <c r="G163" s="109">
        <v>40</v>
      </c>
      <c r="H163" s="109">
        <v>40</v>
      </c>
      <c r="I163" s="109">
        <v>40</v>
      </c>
      <c r="J163" s="109">
        <v>40</v>
      </c>
      <c r="K163" s="109">
        <v>40</v>
      </c>
      <c r="L163" s="109">
        <v>40</v>
      </c>
      <c r="M163" s="109">
        <v>40</v>
      </c>
      <c r="N163" s="139">
        <f t="shared" si="36"/>
        <v>480</v>
      </c>
    </row>
    <row r="164" spans="1:15" ht="16.5" thickBot="1">
      <c r="A164" s="115" t="s">
        <v>142</v>
      </c>
      <c r="B164" s="121">
        <f>SUM(B160:B163)</f>
        <v>906.09</v>
      </c>
      <c r="C164" s="122">
        <f aca="true" t="shared" si="38" ref="C164:K164">SUM(C160:C163)</f>
        <v>906.09</v>
      </c>
      <c r="D164" s="122">
        <f t="shared" si="38"/>
        <v>906.09</v>
      </c>
      <c r="E164" s="122">
        <f t="shared" si="38"/>
        <v>906.09</v>
      </c>
      <c r="F164" s="121">
        <f t="shared" si="38"/>
        <v>906.09</v>
      </c>
      <c r="G164" s="121">
        <f t="shared" si="38"/>
        <v>906.09</v>
      </c>
      <c r="H164" s="121">
        <f t="shared" si="38"/>
        <v>906.09</v>
      </c>
      <c r="I164" s="121">
        <f t="shared" si="38"/>
        <v>906.09</v>
      </c>
      <c r="J164" s="121">
        <f t="shared" si="38"/>
        <v>906.09</v>
      </c>
      <c r="K164" s="121">
        <f t="shared" si="38"/>
        <v>906.09</v>
      </c>
      <c r="L164" s="121">
        <f>SUM(L160:L163)</f>
        <v>906.09</v>
      </c>
      <c r="M164" s="121">
        <f>SUM(M160:M163)</f>
        <v>906.09</v>
      </c>
      <c r="N164" s="136">
        <f t="shared" si="36"/>
        <v>10873.08</v>
      </c>
      <c r="O164" s="91"/>
    </row>
    <row r="165" spans="1:15" ht="15.75">
      <c r="A165" s="147" t="s">
        <v>172</v>
      </c>
      <c r="B165" s="112">
        <v>124.54</v>
      </c>
      <c r="C165" s="112">
        <v>124.54</v>
      </c>
      <c r="D165" s="112">
        <v>124.54</v>
      </c>
      <c r="E165" s="112">
        <v>124.54</v>
      </c>
      <c r="F165" s="112">
        <v>124.54</v>
      </c>
      <c r="G165" s="112">
        <v>124.54</v>
      </c>
      <c r="H165" s="112">
        <v>124.54</v>
      </c>
      <c r="I165" s="112">
        <v>124.54</v>
      </c>
      <c r="J165" s="112">
        <v>124.54</v>
      </c>
      <c r="K165" s="112">
        <v>124.54</v>
      </c>
      <c r="L165" s="112">
        <v>124.54</v>
      </c>
      <c r="M165" s="112">
        <v>124.54</v>
      </c>
      <c r="N165" s="148">
        <f>SUM(B165:M165)</f>
        <v>1494.4799999999998</v>
      </c>
      <c r="O165" s="91"/>
    </row>
    <row r="166" spans="1:15" ht="13.5" thickBot="1">
      <c r="A166" s="149" t="s">
        <v>170</v>
      </c>
      <c r="B166" s="109">
        <f aca="true" t="shared" si="39" ref="B166:I166">(B164-B146)*6%</f>
        <v>54.3654</v>
      </c>
      <c r="C166" s="109">
        <f t="shared" si="39"/>
        <v>54.3654</v>
      </c>
      <c r="D166" s="109">
        <f t="shared" si="39"/>
        <v>54.3654</v>
      </c>
      <c r="E166" s="109">
        <f t="shared" si="39"/>
        <v>54.3654</v>
      </c>
      <c r="F166" s="109">
        <f t="shared" si="39"/>
        <v>54.3654</v>
      </c>
      <c r="G166" s="109">
        <f t="shared" si="39"/>
        <v>54.3654</v>
      </c>
      <c r="H166" s="109">
        <f t="shared" si="39"/>
        <v>54.3654</v>
      </c>
      <c r="I166" s="109">
        <f t="shared" si="39"/>
        <v>54.3654</v>
      </c>
      <c r="J166" s="109">
        <f>(J164-J146)*6%</f>
        <v>54.3654</v>
      </c>
      <c r="K166" s="109">
        <f>(K164-K146)*6%</f>
        <v>54.3654</v>
      </c>
      <c r="L166" s="109">
        <f>(L164-L146)*6%</f>
        <v>54.3654</v>
      </c>
      <c r="M166" s="109">
        <f>(M164-M146)*6%</f>
        <v>54.3654</v>
      </c>
      <c r="N166" s="139">
        <f>SUM(B166:M166)</f>
        <v>652.3848000000002</v>
      </c>
      <c r="O166" s="91"/>
    </row>
    <row r="167" spans="1:15" ht="15.75" thickBot="1">
      <c r="A167" s="115" t="s">
        <v>171</v>
      </c>
      <c r="B167" s="121">
        <f aca="true" t="shared" si="40" ref="B167:M167">B164-B147-B165-B166</f>
        <v>598.2021000000001</v>
      </c>
      <c r="C167" s="121">
        <f t="shared" si="40"/>
        <v>598.2021000000001</v>
      </c>
      <c r="D167" s="121">
        <f t="shared" si="40"/>
        <v>598.2021000000001</v>
      </c>
      <c r="E167" s="121">
        <f t="shared" si="40"/>
        <v>598.2021000000001</v>
      </c>
      <c r="F167" s="121">
        <f t="shared" si="40"/>
        <v>588.2021000000001</v>
      </c>
      <c r="G167" s="121">
        <f t="shared" si="40"/>
        <v>598.2021000000001</v>
      </c>
      <c r="H167" s="121">
        <f t="shared" si="40"/>
        <v>598.2021000000001</v>
      </c>
      <c r="I167" s="121">
        <f t="shared" si="40"/>
        <v>598.2021000000001</v>
      </c>
      <c r="J167" s="121">
        <f t="shared" si="40"/>
        <v>598.2021000000001</v>
      </c>
      <c r="K167" s="121">
        <f t="shared" si="40"/>
        <v>598.2021000000001</v>
      </c>
      <c r="L167" s="121">
        <f t="shared" si="40"/>
        <v>588.2021000000001</v>
      </c>
      <c r="M167" s="121">
        <f t="shared" si="40"/>
        <v>598.2021000000001</v>
      </c>
      <c r="N167" s="150">
        <f>SUM(B167:M167)</f>
        <v>7158.425200000002</v>
      </c>
      <c r="O167" s="91"/>
    </row>
    <row r="168" spans="1:15" ht="15">
      <c r="A168" s="134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236"/>
      <c r="O168" s="91"/>
    </row>
    <row r="169" spans="1:15" ht="15">
      <c r="A169" s="402" t="s">
        <v>248</v>
      </c>
      <c r="B169" s="402"/>
      <c r="C169" s="402"/>
      <c r="D169" s="402"/>
      <c r="E169" s="402"/>
      <c r="F169" s="135"/>
      <c r="G169" s="135"/>
      <c r="H169" s="135"/>
      <c r="I169" s="135"/>
      <c r="J169" s="135"/>
      <c r="K169" s="135"/>
      <c r="L169" s="135"/>
      <c r="M169" s="135"/>
      <c r="N169" s="236"/>
      <c r="O169" s="91"/>
    </row>
    <row r="170" spans="2:14" ht="12.75">
      <c r="B170" s="104"/>
      <c r="C170" s="105"/>
      <c r="D170" s="105"/>
      <c r="E170" s="105"/>
      <c r="F170" s="104"/>
      <c r="G170" s="104"/>
      <c r="H170" s="104"/>
      <c r="I170" s="104"/>
      <c r="J170" s="104"/>
      <c r="K170" s="104"/>
      <c r="L170" s="104"/>
      <c r="M170" s="104"/>
      <c r="N170" s="140"/>
    </row>
    <row r="171" spans="1:14" ht="12.75" customHeight="1">
      <c r="A171" s="77"/>
      <c r="B171" s="408" t="s">
        <v>147</v>
      </c>
      <c r="C171" s="408"/>
      <c r="D171" s="408"/>
      <c r="E171" s="408"/>
      <c r="F171" s="408"/>
      <c r="G171" s="408"/>
      <c r="H171" s="408"/>
      <c r="I171" s="408"/>
      <c r="J171" s="408"/>
      <c r="K171" s="408"/>
      <c r="L171" s="408"/>
      <c r="M171" s="408"/>
      <c r="N171" s="406" t="s">
        <v>285</v>
      </c>
    </row>
    <row r="172" spans="1:14" ht="12.75">
      <c r="A172" s="77" t="s">
        <v>154</v>
      </c>
      <c r="B172" s="106">
        <v>1</v>
      </c>
      <c r="C172" s="107">
        <v>2</v>
      </c>
      <c r="D172" s="107">
        <v>3</v>
      </c>
      <c r="E172" s="107">
        <v>4</v>
      </c>
      <c r="F172" s="106">
        <v>5</v>
      </c>
      <c r="G172" s="106">
        <v>6</v>
      </c>
      <c r="H172" s="106">
        <v>7</v>
      </c>
      <c r="I172" s="107">
        <v>8</v>
      </c>
      <c r="J172" s="106">
        <v>9</v>
      </c>
      <c r="K172" s="106">
        <v>10</v>
      </c>
      <c r="L172" s="106">
        <v>11</v>
      </c>
      <c r="M172" s="106">
        <v>12</v>
      </c>
      <c r="N172" s="407"/>
    </row>
    <row r="173" spans="1:14" ht="16.5" thickBot="1">
      <c r="A173" s="124" t="s">
        <v>156</v>
      </c>
      <c r="B173" s="109"/>
      <c r="C173" s="110"/>
      <c r="D173" s="110"/>
      <c r="E173" s="110"/>
      <c r="F173" s="109"/>
      <c r="G173" s="109"/>
      <c r="H173" s="109"/>
      <c r="I173" s="110"/>
      <c r="J173" s="109"/>
      <c r="K173" s="109"/>
      <c r="L173" s="109"/>
      <c r="M173" s="109"/>
      <c r="N173" s="139"/>
    </row>
    <row r="174" spans="1:14" ht="16.5" thickBot="1">
      <c r="A174" s="115" t="s">
        <v>157</v>
      </c>
      <c r="B174" s="116">
        <f aca="true" t="shared" si="41" ref="B174:M174">SUM(B175:B185)</f>
        <v>128.9825</v>
      </c>
      <c r="C174" s="116">
        <f t="shared" si="41"/>
        <v>128.9825</v>
      </c>
      <c r="D174" s="116">
        <f t="shared" si="41"/>
        <v>128.9825</v>
      </c>
      <c r="E174" s="116">
        <f t="shared" si="41"/>
        <v>128.9825</v>
      </c>
      <c r="F174" s="116">
        <f t="shared" si="41"/>
        <v>138.9825</v>
      </c>
      <c r="G174" s="116">
        <f t="shared" si="41"/>
        <v>128.9825</v>
      </c>
      <c r="H174" s="116">
        <f t="shared" si="41"/>
        <v>128.9825</v>
      </c>
      <c r="I174" s="116">
        <f t="shared" si="41"/>
        <v>128.9825</v>
      </c>
      <c r="J174" s="116">
        <f t="shared" si="41"/>
        <v>128.9825</v>
      </c>
      <c r="K174" s="116">
        <f t="shared" si="41"/>
        <v>128.9825</v>
      </c>
      <c r="L174" s="116">
        <f t="shared" si="41"/>
        <v>138.9825</v>
      </c>
      <c r="M174" s="116">
        <f t="shared" si="41"/>
        <v>128.9825</v>
      </c>
      <c r="N174" s="136">
        <f aca="true" t="shared" si="42" ref="N174:N185">SUM(B174:M174)</f>
        <v>1567.7900000000002</v>
      </c>
    </row>
    <row r="175" spans="1:16" ht="12.75">
      <c r="A175" s="35" t="s">
        <v>132</v>
      </c>
      <c r="B175" s="112">
        <v>56.55</v>
      </c>
      <c r="C175" s="113">
        <v>56.55</v>
      </c>
      <c r="D175" s="113">
        <v>56.55</v>
      </c>
      <c r="E175" s="113">
        <v>56.55</v>
      </c>
      <c r="F175" s="112">
        <v>56.55</v>
      </c>
      <c r="G175" s="112">
        <v>56.55</v>
      </c>
      <c r="H175" s="112">
        <v>56.55</v>
      </c>
      <c r="I175" s="112">
        <v>56.55</v>
      </c>
      <c r="J175" s="112">
        <v>56.55</v>
      </c>
      <c r="K175" s="112">
        <v>56.55</v>
      </c>
      <c r="L175" s="112">
        <v>56.55</v>
      </c>
      <c r="M175" s="112">
        <v>56.55</v>
      </c>
      <c r="N175" s="137">
        <f t="shared" si="42"/>
        <v>678.5999999999999</v>
      </c>
      <c r="O175" s="98">
        <f>N175/P175*100</f>
        <v>43.28385816978038</v>
      </c>
      <c r="P175" s="234">
        <f>N174</f>
        <v>1567.7900000000002</v>
      </c>
    </row>
    <row r="176" spans="1:16" ht="12.75">
      <c r="A176" s="2" t="s">
        <v>133</v>
      </c>
      <c r="B176" s="101">
        <f>M149</f>
        <v>11.5025</v>
      </c>
      <c r="C176" s="102">
        <f>B176</f>
        <v>11.5025</v>
      </c>
      <c r="D176" s="102">
        <f aca="true" t="shared" si="43" ref="D176:M176">C176</f>
        <v>11.5025</v>
      </c>
      <c r="E176" s="102">
        <f t="shared" si="43"/>
        <v>11.5025</v>
      </c>
      <c r="F176" s="102">
        <f t="shared" si="43"/>
        <v>11.5025</v>
      </c>
      <c r="G176" s="102">
        <f t="shared" si="43"/>
        <v>11.5025</v>
      </c>
      <c r="H176" s="102">
        <f t="shared" si="43"/>
        <v>11.5025</v>
      </c>
      <c r="I176" s="102">
        <f t="shared" si="43"/>
        <v>11.5025</v>
      </c>
      <c r="J176" s="102">
        <f t="shared" si="43"/>
        <v>11.5025</v>
      </c>
      <c r="K176" s="102">
        <f t="shared" si="43"/>
        <v>11.5025</v>
      </c>
      <c r="L176" s="102">
        <f t="shared" si="43"/>
        <v>11.5025</v>
      </c>
      <c r="M176" s="102">
        <f t="shared" si="43"/>
        <v>11.5025</v>
      </c>
      <c r="N176" s="138">
        <f t="shared" si="42"/>
        <v>138.03</v>
      </c>
      <c r="O176" s="98">
        <f aca="true" t="shared" si="44" ref="O176:O184">N176/P176*100</f>
        <v>8.804112795718813</v>
      </c>
      <c r="P176" s="234">
        <f>P175</f>
        <v>1567.7900000000002</v>
      </c>
    </row>
    <row r="177" spans="1:16" ht="12.75">
      <c r="A177" s="2" t="s">
        <v>134</v>
      </c>
      <c r="B177" s="101">
        <v>5</v>
      </c>
      <c r="C177" s="102">
        <v>5</v>
      </c>
      <c r="D177" s="102">
        <v>5</v>
      </c>
      <c r="E177" s="102">
        <v>5</v>
      </c>
      <c r="F177" s="101">
        <v>5</v>
      </c>
      <c r="G177" s="101">
        <v>5</v>
      </c>
      <c r="H177" s="101">
        <v>5</v>
      </c>
      <c r="I177" s="101">
        <v>5</v>
      </c>
      <c r="J177" s="101">
        <v>5</v>
      </c>
      <c r="K177" s="101">
        <v>5</v>
      </c>
      <c r="L177" s="101">
        <v>5</v>
      </c>
      <c r="M177" s="101">
        <v>5</v>
      </c>
      <c r="N177" s="138">
        <f t="shared" si="42"/>
        <v>60</v>
      </c>
      <c r="O177" s="98">
        <f t="shared" si="44"/>
        <v>3.827043162668469</v>
      </c>
      <c r="P177" s="234">
        <f>P176</f>
        <v>1567.7900000000002</v>
      </c>
    </row>
    <row r="178" spans="1:16" ht="12.75">
      <c r="A178" s="2" t="s">
        <v>135</v>
      </c>
      <c r="B178" s="101">
        <v>0</v>
      </c>
      <c r="C178" s="102">
        <v>0</v>
      </c>
      <c r="D178" s="102">
        <v>0</v>
      </c>
      <c r="E178" s="102">
        <v>0</v>
      </c>
      <c r="F178" s="101">
        <v>10</v>
      </c>
      <c r="G178" s="101">
        <v>0</v>
      </c>
      <c r="H178" s="101">
        <v>0</v>
      </c>
      <c r="I178" s="101">
        <v>0</v>
      </c>
      <c r="J178" s="101">
        <v>0</v>
      </c>
      <c r="K178" s="101">
        <v>0</v>
      </c>
      <c r="L178" s="101">
        <v>10</v>
      </c>
      <c r="M178" s="101">
        <v>0</v>
      </c>
      <c r="N178" s="138">
        <f t="shared" si="42"/>
        <v>20</v>
      </c>
      <c r="O178" s="98">
        <f t="shared" si="44"/>
        <v>1.275681054222823</v>
      </c>
      <c r="P178" s="234">
        <f aca="true" t="shared" si="45" ref="P178:P184">P177</f>
        <v>1567.7900000000002</v>
      </c>
    </row>
    <row r="179" spans="1:16" ht="12.75">
      <c r="A179" s="2" t="s">
        <v>136</v>
      </c>
      <c r="B179" s="101">
        <v>9.45</v>
      </c>
      <c r="C179" s="102">
        <v>9.45</v>
      </c>
      <c r="D179" s="102">
        <v>9.45</v>
      </c>
      <c r="E179" s="102">
        <v>9.45</v>
      </c>
      <c r="F179" s="101">
        <v>9.45</v>
      </c>
      <c r="G179" s="101">
        <v>9.45</v>
      </c>
      <c r="H179" s="101">
        <v>9.45</v>
      </c>
      <c r="I179" s="101">
        <v>9.45</v>
      </c>
      <c r="J179" s="101">
        <v>9.45</v>
      </c>
      <c r="K179" s="101">
        <v>9.45</v>
      </c>
      <c r="L179" s="101">
        <v>9.45</v>
      </c>
      <c r="M179" s="101">
        <v>9.45</v>
      </c>
      <c r="N179" s="138">
        <f t="shared" si="42"/>
        <v>113.40000000000002</v>
      </c>
      <c r="O179" s="98">
        <f t="shared" si="44"/>
        <v>7.233111577443408</v>
      </c>
      <c r="P179" s="234">
        <f t="shared" si="45"/>
        <v>1567.7900000000002</v>
      </c>
    </row>
    <row r="180" spans="1:16" ht="12.75">
      <c r="A180" s="2" t="s">
        <v>114</v>
      </c>
      <c r="B180" s="101">
        <v>4.31</v>
      </c>
      <c r="C180" s="102">
        <v>4.31</v>
      </c>
      <c r="D180" s="102">
        <v>4.31</v>
      </c>
      <c r="E180" s="102">
        <v>4.31</v>
      </c>
      <c r="F180" s="101">
        <v>4.31</v>
      </c>
      <c r="G180" s="101">
        <v>4.31</v>
      </c>
      <c r="H180" s="101">
        <v>4.31</v>
      </c>
      <c r="I180" s="101">
        <v>4.31</v>
      </c>
      <c r="J180" s="101">
        <v>4.31</v>
      </c>
      <c r="K180" s="101">
        <v>4.31</v>
      </c>
      <c r="L180" s="101">
        <v>4.31</v>
      </c>
      <c r="M180" s="101">
        <v>4.31</v>
      </c>
      <c r="N180" s="138">
        <f t="shared" si="42"/>
        <v>51.720000000000006</v>
      </c>
      <c r="O180" s="98">
        <f t="shared" si="44"/>
        <v>3.298911206220221</v>
      </c>
      <c r="P180" s="234">
        <f t="shared" si="45"/>
        <v>1567.7900000000002</v>
      </c>
    </row>
    <row r="181" spans="1:16" ht="12.75">
      <c r="A181" s="2" t="s">
        <v>137</v>
      </c>
      <c r="B181" s="101">
        <v>30</v>
      </c>
      <c r="C181" s="102">
        <v>30</v>
      </c>
      <c r="D181" s="102">
        <v>30</v>
      </c>
      <c r="E181" s="102">
        <v>30</v>
      </c>
      <c r="F181" s="101">
        <v>30</v>
      </c>
      <c r="G181" s="101">
        <v>30</v>
      </c>
      <c r="H181" s="101">
        <v>30</v>
      </c>
      <c r="I181" s="101">
        <v>30</v>
      </c>
      <c r="J181" s="101">
        <v>30</v>
      </c>
      <c r="K181" s="101">
        <v>30</v>
      </c>
      <c r="L181" s="101">
        <v>30</v>
      </c>
      <c r="M181" s="101">
        <v>30</v>
      </c>
      <c r="N181" s="138">
        <f t="shared" si="42"/>
        <v>360</v>
      </c>
      <c r="O181" s="98">
        <f t="shared" si="44"/>
        <v>22.962258976010816</v>
      </c>
      <c r="P181" s="234">
        <f t="shared" si="45"/>
        <v>1567.7900000000002</v>
      </c>
    </row>
    <row r="182" spans="1:16" ht="12.75">
      <c r="A182" s="2" t="s">
        <v>138</v>
      </c>
      <c r="B182" s="101">
        <v>1</v>
      </c>
      <c r="C182" s="102">
        <v>1</v>
      </c>
      <c r="D182" s="102">
        <v>1</v>
      </c>
      <c r="E182" s="102">
        <v>1</v>
      </c>
      <c r="F182" s="101">
        <v>1</v>
      </c>
      <c r="G182" s="101">
        <v>1</v>
      </c>
      <c r="H182" s="101">
        <v>1</v>
      </c>
      <c r="I182" s="101">
        <v>1</v>
      </c>
      <c r="J182" s="101">
        <v>1</v>
      </c>
      <c r="K182" s="101">
        <v>1</v>
      </c>
      <c r="L182" s="101">
        <v>1</v>
      </c>
      <c r="M182" s="101">
        <v>1</v>
      </c>
      <c r="N182" s="138">
        <f t="shared" si="42"/>
        <v>12</v>
      </c>
      <c r="O182" s="98">
        <f t="shared" si="44"/>
        <v>0.7654086325336938</v>
      </c>
      <c r="P182" s="234">
        <f t="shared" si="45"/>
        <v>1567.7900000000002</v>
      </c>
    </row>
    <row r="183" spans="1:16" ht="12.75">
      <c r="A183" s="2" t="s">
        <v>139</v>
      </c>
      <c r="B183" s="101">
        <v>10</v>
      </c>
      <c r="C183" s="102">
        <v>10</v>
      </c>
      <c r="D183" s="102">
        <v>10</v>
      </c>
      <c r="E183" s="102">
        <v>10</v>
      </c>
      <c r="F183" s="101">
        <v>10</v>
      </c>
      <c r="G183" s="101">
        <v>10</v>
      </c>
      <c r="H183" s="101">
        <v>10</v>
      </c>
      <c r="I183" s="101">
        <v>10</v>
      </c>
      <c r="J183" s="101">
        <v>10</v>
      </c>
      <c r="K183" s="101">
        <v>10</v>
      </c>
      <c r="L183" s="101">
        <v>10</v>
      </c>
      <c r="M183" s="101">
        <v>10</v>
      </c>
      <c r="N183" s="138">
        <f t="shared" si="42"/>
        <v>120</v>
      </c>
      <c r="O183" s="98">
        <f t="shared" si="44"/>
        <v>7.654086325336938</v>
      </c>
      <c r="P183" s="234">
        <f t="shared" si="45"/>
        <v>1567.7900000000002</v>
      </c>
    </row>
    <row r="184" spans="1:16" ht="12.75">
      <c r="A184" s="2" t="s">
        <v>151</v>
      </c>
      <c r="B184" s="101">
        <v>1.17</v>
      </c>
      <c r="C184" s="102">
        <v>1.17</v>
      </c>
      <c r="D184" s="102">
        <v>1.17</v>
      </c>
      <c r="E184" s="102">
        <v>1.17</v>
      </c>
      <c r="F184" s="101">
        <v>1.17</v>
      </c>
      <c r="G184" s="101">
        <v>1.17</v>
      </c>
      <c r="H184" s="101">
        <v>1.17</v>
      </c>
      <c r="I184" s="101">
        <v>1.17</v>
      </c>
      <c r="J184" s="101">
        <v>1.17</v>
      </c>
      <c r="K184" s="101">
        <v>1.17</v>
      </c>
      <c r="L184" s="101">
        <v>1.17</v>
      </c>
      <c r="M184" s="101">
        <v>1.17</v>
      </c>
      <c r="N184" s="138">
        <f t="shared" si="42"/>
        <v>14.04</v>
      </c>
      <c r="O184" s="98">
        <f t="shared" si="44"/>
        <v>0.8955281000644219</v>
      </c>
      <c r="P184" s="234">
        <f t="shared" si="45"/>
        <v>1567.7900000000002</v>
      </c>
    </row>
    <row r="185" spans="1:14" ht="12.75">
      <c r="A185" s="2" t="s">
        <v>140</v>
      </c>
      <c r="B185" s="104"/>
      <c r="C185" s="105"/>
      <c r="D185" s="102"/>
      <c r="E185" s="102"/>
      <c r="F185" s="101"/>
      <c r="G185" s="101"/>
      <c r="H185" s="101"/>
      <c r="I185" s="102"/>
      <c r="J185" s="101"/>
      <c r="K185" s="101"/>
      <c r="L185" s="101"/>
      <c r="M185" s="101"/>
      <c r="N185" s="138">
        <f t="shared" si="42"/>
        <v>0</v>
      </c>
    </row>
    <row r="186" spans="1:14" ht="15.75">
      <c r="A186" s="78" t="s">
        <v>155</v>
      </c>
      <c r="B186" s="101"/>
      <c r="C186" s="102"/>
      <c r="D186" s="102"/>
      <c r="E186" s="102"/>
      <c r="F186" s="101"/>
      <c r="G186" s="101"/>
      <c r="H186" s="101"/>
      <c r="I186" s="102"/>
      <c r="J186" s="101"/>
      <c r="K186" s="101"/>
      <c r="L186" s="101"/>
      <c r="M186" s="101"/>
      <c r="N186" s="138">
        <f aca="true" t="shared" si="46" ref="N186:N191">SUM(B186:M186)</f>
        <v>0</v>
      </c>
    </row>
    <row r="187" spans="1:14" ht="12.75">
      <c r="A187" s="2" t="s">
        <v>158</v>
      </c>
      <c r="B187" s="102">
        <f>B160</f>
        <v>846.09</v>
      </c>
      <c r="C187" s="102">
        <f>B187</f>
        <v>846.09</v>
      </c>
      <c r="D187" s="102">
        <f aca="true" t="shared" si="47" ref="D187:M187">C187</f>
        <v>846.09</v>
      </c>
      <c r="E187" s="102">
        <f t="shared" si="47"/>
        <v>846.09</v>
      </c>
      <c r="F187" s="102">
        <f t="shared" si="47"/>
        <v>846.09</v>
      </c>
      <c r="G187" s="102">
        <f t="shared" si="47"/>
        <v>846.09</v>
      </c>
      <c r="H187" s="102">
        <f t="shared" si="47"/>
        <v>846.09</v>
      </c>
      <c r="I187" s="102">
        <f t="shared" si="47"/>
        <v>846.09</v>
      </c>
      <c r="J187" s="102">
        <f t="shared" si="47"/>
        <v>846.09</v>
      </c>
      <c r="K187" s="102">
        <f t="shared" si="47"/>
        <v>846.09</v>
      </c>
      <c r="L187" s="102">
        <f t="shared" si="47"/>
        <v>846.09</v>
      </c>
      <c r="M187" s="102">
        <f t="shared" si="47"/>
        <v>846.09</v>
      </c>
      <c r="N187" s="138">
        <f t="shared" si="46"/>
        <v>10153.08</v>
      </c>
    </row>
    <row r="188" spans="1:14" ht="12.75">
      <c r="A188" s="2" t="s">
        <v>148</v>
      </c>
      <c r="B188" s="101">
        <v>20</v>
      </c>
      <c r="C188" s="102">
        <v>20</v>
      </c>
      <c r="D188" s="102">
        <v>20</v>
      </c>
      <c r="E188" s="102">
        <v>20</v>
      </c>
      <c r="F188" s="101">
        <v>20</v>
      </c>
      <c r="G188" s="101">
        <v>20</v>
      </c>
      <c r="H188" s="101">
        <v>20</v>
      </c>
      <c r="I188" s="101">
        <v>20</v>
      </c>
      <c r="J188" s="101">
        <v>20</v>
      </c>
      <c r="K188" s="101">
        <v>20</v>
      </c>
      <c r="L188" s="101">
        <v>20</v>
      </c>
      <c r="M188" s="101">
        <v>20</v>
      </c>
      <c r="N188" s="138">
        <f t="shared" si="46"/>
        <v>240</v>
      </c>
    </row>
    <row r="189" spans="1:14" ht="12.75">
      <c r="A189" s="2" t="s">
        <v>141</v>
      </c>
      <c r="B189" s="101">
        <v>0</v>
      </c>
      <c r="C189" s="102">
        <v>0</v>
      </c>
      <c r="D189" s="102">
        <v>0</v>
      </c>
      <c r="E189" s="102">
        <v>0</v>
      </c>
      <c r="F189" s="101">
        <v>0</v>
      </c>
      <c r="G189" s="101">
        <v>0</v>
      </c>
      <c r="H189" s="101">
        <v>0</v>
      </c>
      <c r="I189" s="101">
        <v>0</v>
      </c>
      <c r="J189" s="101">
        <v>0</v>
      </c>
      <c r="K189" s="101">
        <v>0</v>
      </c>
      <c r="L189" s="101">
        <v>0</v>
      </c>
      <c r="M189" s="101">
        <v>0</v>
      </c>
      <c r="N189" s="138">
        <f t="shared" si="46"/>
        <v>0</v>
      </c>
    </row>
    <row r="190" spans="1:14" ht="13.5" thickBot="1">
      <c r="A190" s="108" t="s">
        <v>160</v>
      </c>
      <c r="B190" s="109">
        <v>40</v>
      </c>
      <c r="C190" s="110">
        <v>40</v>
      </c>
      <c r="D190" s="110">
        <v>40</v>
      </c>
      <c r="E190" s="110">
        <v>40</v>
      </c>
      <c r="F190" s="109">
        <v>40</v>
      </c>
      <c r="G190" s="109">
        <v>40</v>
      </c>
      <c r="H190" s="109">
        <v>40</v>
      </c>
      <c r="I190" s="109">
        <v>40</v>
      </c>
      <c r="J190" s="109">
        <v>40</v>
      </c>
      <c r="K190" s="109">
        <v>40</v>
      </c>
      <c r="L190" s="109">
        <v>40</v>
      </c>
      <c r="M190" s="109">
        <v>40</v>
      </c>
      <c r="N190" s="139">
        <f t="shared" si="46"/>
        <v>480</v>
      </c>
    </row>
    <row r="191" spans="1:15" ht="16.5" thickBot="1">
      <c r="A191" s="115" t="s">
        <v>142</v>
      </c>
      <c r="B191" s="121">
        <f>SUM(B187:B190)</f>
        <v>906.09</v>
      </c>
      <c r="C191" s="122">
        <f aca="true" t="shared" si="48" ref="C191:M191">SUM(C187:C190)</f>
        <v>906.09</v>
      </c>
      <c r="D191" s="122">
        <f t="shared" si="48"/>
        <v>906.09</v>
      </c>
      <c r="E191" s="122">
        <f t="shared" si="48"/>
        <v>906.09</v>
      </c>
      <c r="F191" s="121">
        <f t="shared" si="48"/>
        <v>906.09</v>
      </c>
      <c r="G191" s="121">
        <f t="shared" si="48"/>
        <v>906.09</v>
      </c>
      <c r="H191" s="121">
        <f t="shared" si="48"/>
        <v>906.09</v>
      </c>
      <c r="I191" s="121">
        <f t="shared" si="48"/>
        <v>906.09</v>
      </c>
      <c r="J191" s="121">
        <f t="shared" si="48"/>
        <v>906.09</v>
      </c>
      <c r="K191" s="121">
        <f t="shared" si="48"/>
        <v>906.09</v>
      </c>
      <c r="L191" s="121">
        <f t="shared" si="48"/>
        <v>906.09</v>
      </c>
      <c r="M191" s="121">
        <f t="shared" si="48"/>
        <v>906.09</v>
      </c>
      <c r="N191" s="136">
        <f t="shared" si="46"/>
        <v>10873.08</v>
      </c>
      <c r="O191" s="91"/>
    </row>
    <row r="192" spans="1:15" ht="15.75">
      <c r="A192" s="147" t="s">
        <v>172</v>
      </c>
      <c r="B192" s="112">
        <v>124.54</v>
      </c>
      <c r="C192" s="112">
        <v>124.54</v>
      </c>
      <c r="D192" s="112">
        <v>124.54</v>
      </c>
      <c r="E192" s="112">
        <v>124.54</v>
      </c>
      <c r="F192" s="112">
        <v>124.54</v>
      </c>
      <c r="G192" s="112">
        <v>124.54</v>
      </c>
      <c r="H192" s="112">
        <v>124.54</v>
      </c>
      <c r="I192" s="112">
        <v>124.54</v>
      </c>
      <c r="J192" s="112">
        <v>124.54</v>
      </c>
      <c r="K192" s="112">
        <v>124.54</v>
      </c>
      <c r="L192" s="112">
        <v>124.54</v>
      </c>
      <c r="M192" s="112">
        <v>124.54</v>
      </c>
      <c r="N192" s="148">
        <f>SUM(B192:M192)</f>
        <v>1494.4799999999998</v>
      </c>
      <c r="O192" s="91"/>
    </row>
    <row r="193" spans="1:15" ht="13.5" thickBot="1">
      <c r="A193" s="149" t="s">
        <v>170</v>
      </c>
      <c r="B193" s="109">
        <f aca="true" t="shared" si="49" ref="B193:I193">(B191-B173)*6%</f>
        <v>54.3654</v>
      </c>
      <c r="C193" s="109">
        <f t="shared" si="49"/>
        <v>54.3654</v>
      </c>
      <c r="D193" s="109">
        <f t="shared" si="49"/>
        <v>54.3654</v>
      </c>
      <c r="E193" s="109">
        <f t="shared" si="49"/>
        <v>54.3654</v>
      </c>
      <c r="F193" s="109">
        <f t="shared" si="49"/>
        <v>54.3654</v>
      </c>
      <c r="G193" s="109">
        <f t="shared" si="49"/>
        <v>54.3654</v>
      </c>
      <c r="H193" s="109">
        <f t="shared" si="49"/>
        <v>54.3654</v>
      </c>
      <c r="I193" s="109">
        <f t="shared" si="49"/>
        <v>54.3654</v>
      </c>
      <c r="J193" s="109">
        <f>(J191-J173)*6%</f>
        <v>54.3654</v>
      </c>
      <c r="K193" s="109">
        <f>(K191-K173)*6%</f>
        <v>54.3654</v>
      </c>
      <c r="L193" s="109">
        <f>(L191-L173)*6%</f>
        <v>54.3654</v>
      </c>
      <c r="M193" s="109">
        <f>(M191-M173)*6%</f>
        <v>54.3654</v>
      </c>
      <c r="N193" s="139">
        <f>SUM(B193:M193)</f>
        <v>652.3848000000002</v>
      </c>
      <c r="O193" s="91"/>
    </row>
    <row r="194" spans="1:15" ht="15.75" thickBot="1">
      <c r="A194" s="115" t="s">
        <v>171</v>
      </c>
      <c r="B194" s="121">
        <f aca="true" t="shared" si="50" ref="B194:M194">B191-B174-B192-B193</f>
        <v>598.2021000000001</v>
      </c>
      <c r="C194" s="121">
        <f t="shared" si="50"/>
        <v>598.2021000000001</v>
      </c>
      <c r="D194" s="121">
        <f t="shared" si="50"/>
        <v>598.2021000000001</v>
      </c>
      <c r="E194" s="121">
        <f t="shared" si="50"/>
        <v>598.2021000000001</v>
      </c>
      <c r="F194" s="121">
        <f t="shared" si="50"/>
        <v>588.2021000000001</v>
      </c>
      <c r="G194" s="121">
        <f t="shared" si="50"/>
        <v>598.2021000000001</v>
      </c>
      <c r="H194" s="121">
        <f t="shared" si="50"/>
        <v>598.2021000000001</v>
      </c>
      <c r="I194" s="121">
        <f t="shared" si="50"/>
        <v>598.2021000000001</v>
      </c>
      <c r="J194" s="121">
        <f t="shared" si="50"/>
        <v>598.2021000000001</v>
      </c>
      <c r="K194" s="121">
        <f t="shared" si="50"/>
        <v>598.2021000000001</v>
      </c>
      <c r="L194" s="121">
        <f t="shared" si="50"/>
        <v>588.2021000000001</v>
      </c>
      <c r="M194" s="121">
        <f t="shared" si="50"/>
        <v>598.2021000000001</v>
      </c>
      <c r="N194" s="150">
        <f>SUM(B194:M194)</f>
        <v>7158.425200000002</v>
      </c>
      <c r="O194" s="91"/>
    </row>
    <row r="195" spans="1:15" ht="12.75">
      <c r="A195" s="134" t="s">
        <v>177</v>
      </c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42">
        <f>N192*6</f>
        <v>8966.88</v>
      </c>
      <c r="O195" s="91"/>
    </row>
    <row r="196" spans="1:15" ht="12.75">
      <c r="A196" s="134" t="s">
        <v>176</v>
      </c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42">
        <f>N194+N167+N140+N113+N86+N59+N32</f>
        <v>41217.203496880014</v>
      </c>
      <c r="O196" s="91"/>
    </row>
    <row r="197" spans="1:14" ht="12.75" customHeight="1">
      <c r="A197" t="s">
        <v>149</v>
      </c>
      <c r="N197" s="140"/>
    </row>
    <row r="198" spans="1:14" ht="12.75">
      <c r="A198" t="s">
        <v>150</v>
      </c>
      <c r="N198" s="140"/>
    </row>
    <row r="199" spans="1:14" ht="12.75">
      <c r="A199" t="s">
        <v>152</v>
      </c>
      <c r="N199" s="140"/>
    </row>
    <row r="200" spans="1:14" ht="12.75">
      <c r="A200" t="s">
        <v>153</v>
      </c>
      <c r="N200" s="140"/>
    </row>
    <row r="201" ht="12.75">
      <c r="N201" s="140"/>
    </row>
    <row r="202" ht="12.75">
      <c r="N202" s="140"/>
    </row>
    <row r="203" ht="12.75">
      <c r="N203" s="140"/>
    </row>
    <row r="204" ht="12.75">
      <c r="N204" s="140"/>
    </row>
    <row r="205" ht="12.75">
      <c r="N205" s="140"/>
    </row>
    <row r="206" ht="12.75">
      <c r="N206" s="140"/>
    </row>
    <row r="207" ht="12.75">
      <c r="N207" s="140"/>
    </row>
    <row r="208" ht="12.75">
      <c r="N208" s="140"/>
    </row>
    <row r="209" ht="12.75">
      <c r="N209" s="140"/>
    </row>
    <row r="210" ht="12.75">
      <c r="N210" s="140"/>
    </row>
    <row r="211" ht="12.75">
      <c r="N211" s="140"/>
    </row>
    <row r="212" ht="12.75">
      <c r="N212" s="140"/>
    </row>
    <row r="213" ht="12.75">
      <c r="N213" s="140"/>
    </row>
    <row r="214" ht="12.75">
      <c r="N214" s="140"/>
    </row>
    <row r="215" ht="12.75">
      <c r="N215" s="140"/>
    </row>
    <row r="216" ht="12.75">
      <c r="N216" s="140"/>
    </row>
    <row r="217" ht="12.75">
      <c r="N217" s="140"/>
    </row>
    <row r="218" ht="12.75">
      <c r="N218" s="140"/>
    </row>
    <row r="219" ht="12.75">
      <c r="N219" s="140"/>
    </row>
    <row r="220" ht="12.75">
      <c r="N220" s="140"/>
    </row>
    <row r="221" ht="12.75">
      <c r="N221" s="140"/>
    </row>
    <row r="222" ht="12.75">
      <c r="N222" s="140"/>
    </row>
    <row r="223" ht="12.75">
      <c r="N223" s="140"/>
    </row>
    <row r="224" ht="12.75">
      <c r="N224" s="140"/>
    </row>
    <row r="225" ht="12.75" customHeight="1">
      <c r="N225" s="140"/>
    </row>
    <row r="226" ht="12.75">
      <c r="N226" s="140"/>
    </row>
    <row r="227" ht="12.75">
      <c r="N227" s="140"/>
    </row>
    <row r="228" ht="12.75">
      <c r="N228" s="140"/>
    </row>
    <row r="229" ht="12.75">
      <c r="N229" s="140"/>
    </row>
    <row r="230" ht="12.75">
      <c r="N230" s="140"/>
    </row>
    <row r="231" ht="12.75">
      <c r="N231" s="140"/>
    </row>
    <row r="232" ht="12.75">
      <c r="N232" s="140"/>
    </row>
    <row r="233" ht="12.75">
      <c r="N233" s="140"/>
    </row>
    <row r="234" ht="12.75">
      <c r="N234" s="140"/>
    </row>
    <row r="235" ht="12.75">
      <c r="N235" s="140"/>
    </row>
    <row r="236" ht="12.75">
      <c r="N236" s="140"/>
    </row>
    <row r="237" ht="12.75">
      <c r="N237" s="140"/>
    </row>
    <row r="238" ht="12.75">
      <c r="N238" s="140"/>
    </row>
    <row r="239" ht="12.75">
      <c r="N239" s="140"/>
    </row>
    <row r="240" ht="12.75">
      <c r="N240" s="140"/>
    </row>
    <row r="241" ht="12.75">
      <c r="N241" s="140"/>
    </row>
    <row r="242" ht="12.75">
      <c r="N242" s="140"/>
    </row>
    <row r="243" ht="12.75">
      <c r="N243" s="140"/>
    </row>
    <row r="244" ht="12.75">
      <c r="N244" s="140"/>
    </row>
    <row r="245" ht="12.75">
      <c r="N245" s="140"/>
    </row>
    <row r="246" ht="12.75">
      <c r="N246" s="140"/>
    </row>
    <row r="247" ht="12.75">
      <c r="N247" s="140"/>
    </row>
    <row r="248" ht="12.75">
      <c r="N248" s="140"/>
    </row>
    <row r="249" ht="12.75">
      <c r="N249" s="140"/>
    </row>
    <row r="250" ht="12.75">
      <c r="N250" s="140"/>
    </row>
    <row r="251" ht="12.75">
      <c r="N251" s="140"/>
    </row>
    <row r="252" ht="12.75">
      <c r="N252" s="140"/>
    </row>
    <row r="253" ht="12.75" customHeight="1">
      <c r="N253" s="140"/>
    </row>
    <row r="254" ht="12.75">
      <c r="N254" s="140"/>
    </row>
    <row r="255" ht="12.75">
      <c r="N255" s="140"/>
    </row>
    <row r="256" ht="12.75">
      <c r="N256" s="140"/>
    </row>
    <row r="257" ht="12.75">
      <c r="N257" s="140"/>
    </row>
    <row r="258" ht="12.75">
      <c r="N258" s="140"/>
    </row>
    <row r="259" ht="12.75">
      <c r="N259" s="140"/>
    </row>
    <row r="260" ht="12.75">
      <c r="N260" s="140"/>
    </row>
    <row r="261" ht="12.75">
      <c r="N261" s="140"/>
    </row>
    <row r="262" ht="12.75">
      <c r="N262" s="140"/>
    </row>
    <row r="263" ht="12.75">
      <c r="N263" s="140"/>
    </row>
    <row r="264" ht="12.75">
      <c r="N264" s="140"/>
    </row>
    <row r="265" ht="12.75">
      <c r="N265" s="140"/>
    </row>
    <row r="266" ht="12.75">
      <c r="N266" s="140"/>
    </row>
    <row r="267" ht="12.75">
      <c r="N267" s="140"/>
    </row>
    <row r="268" ht="12.75">
      <c r="N268" s="140"/>
    </row>
    <row r="269" ht="12.75">
      <c r="N269" s="140"/>
    </row>
    <row r="270" ht="12.75">
      <c r="N270" s="140"/>
    </row>
    <row r="271" ht="12.75">
      <c r="N271" s="140"/>
    </row>
    <row r="272" ht="12.75">
      <c r="N272" s="140"/>
    </row>
    <row r="273" ht="12.75">
      <c r="N273" s="140"/>
    </row>
    <row r="274" ht="12.75">
      <c r="N274" s="140"/>
    </row>
    <row r="275" ht="12.75">
      <c r="N275" s="140"/>
    </row>
    <row r="276" ht="12.75">
      <c r="N276" s="140"/>
    </row>
    <row r="277" ht="12.75">
      <c r="N277" s="140"/>
    </row>
    <row r="278" ht="12.75">
      <c r="N278" s="140"/>
    </row>
    <row r="279" ht="12.75">
      <c r="N279" s="140"/>
    </row>
    <row r="280" ht="12.75">
      <c r="N280" s="140"/>
    </row>
    <row r="281" ht="12.75" customHeight="1">
      <c r="N281" s="140"/>
    </row>
    <row r="282" ht="12.75">
      <c r="N282" s="140"/>
    </row>
    <row r="283" ht="12.75">
      <c r="N283" s="140"/>
    </row>
    <row r="284" ht="12.75">
      <c r="N284" s="140"/>
    </row>
    <row r="285" ht="12.75">
      <c r="N285" s="140"/>
    </row>
    <row r="286" ht="12.75">
      <c r="N286" s="140"/>
    </row>
    <row r="287" ht="12.75">
      <c r="N287" s="140"/>
    </row>
    <row r="288" ht="12.75">
      <c r="N288" s="140"/>
    </row>
    <row r="289" ht="12.75">
      <c r="N289" s="140"/>
    </row>
    <row r="290" ht="12.75">
      <c r="N290" s="140"/>
    </row>
    <row r="291" ht="12.75">
      <c r="N291" s="140"/>
    </row>
    <row r="292" ht="12.75">
      <c r="N292" s="140"/>
    </row>
    <row r="293" ht="12.75">
      <c r="N293" s="140"/>
    </row>
    <row r="294" ht="12.75">
      <c r="N294" s="140"/>
    </row>
    <row r="295" ht="12.75">
      <c r="N295" s="140"/>
    </row>
    <row r="296" ht="12.75">
      <c r="N296" s="140"/>
    </row>
    <row r="297" ht="12.75">
      <c r="N297" s="140"/>
    </row>
    <row r="298" ht="12.75">
      <c r="N298" s="140"/>
    </row>
    <row r="299" ht="12.75">
      <c r="N299" s="140"/>
    </row>
    <row r="300" ht="12.75">
      <c r="N300" s="140"/>
    </row>
    <row r="301" ht="12.75">
      <c r="N301" s="140"/>
    </row>
    <row r="302" ht="12.75">
      <c r="N302" s="140"/>
    </row>
    <row r="303" ht="12.75">
      <c r="N303" s="140"/>
    </row>
    <row r="304" ht="12.75">
      <c r="N304" s="140"/>
    </row>
    <row r="305" ht="12.75">
      <c r="N305" s="140"/>
    </row>
    <row r="306" ht="12.75">
      <c r="N306" s="140"/>
    </row>
    <row r="307" ht="12.75">
      <c r="N307" s="140"/>
    </row>
    <row r="308" ht="12.75">
      <c r="N308" s="140"/>
    </row>
    <row r="309" ht="12.75">
      <c r="N309" s="140"/>
    </row>
    <row r="310" ht="12.75">
      <c r="N310" s="140"/>
    </row>
    <row r="311" ht="12.75">
      <c r="N311" s="140"/>
    </row>
    <row r="312" ht="12.75">
      <c r="N312" s="140"/>
    </row>
    <row r="313" ht="12.75">
      <c r="N313" s="140"/>
    </row>
    <row r="314" ht="12.75">
      <c r="N314" s="140"/>
    </row>
    <row r="315" ht="12.75">
      <c r="N315" s="140"/>
    </row>
    <row r="316" ht="12.75">
      <c r="N316" s="140"/>
    </row>
    <row r="317" ht="12.75">
      <c r="N317" s="140"/>
    </row>
    <row r="318" ht="12.75">
      <c r="N318" s="140"/>
    </row>
    <row r="319" ht="12.75">
      <c r="N319" s="140"/>
    </row>
    <row r="320" ht="12.75">
      <c r="N320" s="140"/>
    </row>
    <row r="321" ht="12.75">
      <c r="N321" s="140"/>
    </row>
    <row r="322" ht="12.75">
      <c r="N322" s="140"/>
    </row>
    <row r="323" ht="12.75">
      <c r="N323" s="140"/>
    </row>
    <row r="324" ht="12.75">
      <c r="N324" s="140"/>
    </row>
    <row r="325" ht="12.75">
      <c r="N325" s="140"/>
    </row>
    <row r="326" ht="12.75">
      <c r="N326" s="140"/>
    </row>
    <row r="327" ht="12.75">
      <c r="N327" s="140"/>
    </row>
    <row r="328" ht="12.75">
      <c r="N328" s="140"/>
    </row>
    <row r="329" ht="12.75">
      <c r="N329" s="140"/>
    </row>
    <row r="330" ht="12.75">
      <c r="N330" s="140"/>
    </row>
    <row r="331" ht="12.75">
      <c r="N331" s="140"/>
    </row>
    <row r="332" ht="12.75">
      <c r="N332" s="140"/>
    </row>
    <row r="333" ht="12.75">
      <c r="N333" s="140"/>
    </row>
    <row r="334" ht="12.75">
      <c r="N334" s="140"/>
    </row>
    <row r="335" ht="12.75">
      <c r="N335" s="140"/>
    </row>
    <row r="336" ht="12.75">
      <c r="N336" s="140"/>
    </row>
    <row r="337" ht="12.75">
      <c r="N337" s="140"/>
    </row>
    <row r="338" ht="12.75">
      <c r="N338" s="140"/>
    </row>
    <row r="339" ht="12.75">
      <c r="N339" s="140"/>
    </row>
    <row r="340" ht="12.75">
      <c r="N340" s="140"/>
    </row>
    <row r="341" ht="12.75">
      <c r="N341" s="140"/>
    </row>
    <row r="342" ht="12.75">
      <c r="N342" s="140"/>
    </row>
    <row r="343" ht="12.75">
      <c r="N343" s="140"/>
    </row>
    <row r="344" ht="12.75">
      <c r="N344" s="140"/>
    </row>
    <row r="345" ht="12.75">
      <c r="N345" s="140"/>
    </row>
    <row r="346" ht="12.75">
      <c r="N346" s="140"/>
    </row>
    <row r="347" ht="12.75">
      <c r="N347" s="140"/>
    </row>
    <row r="348" ht="12.75">
      <c r="N348" s="140"/>
    </row>
    <row r="349" ht="12.75">
      <c r="N349" s="140"/>
    </row>
    <row r="350" ht="12.75">
      <c r="N350" s="140"/>
    </row>
    <row r="351" ht="12.75">
      <c r="N351" s="140"/>
    </row>
    <row r="352" ht="12.75">
      <c r="N352" s="140"/>
    </row>
    <row r="353" ht="12.75">
      <c r="N353" s="140"/>
    </row>
    <row r="354" ht="12.75">
      <c r="N354" s="140"/>
    </row>
    <row r="355" ht="12.75">
      <c r="N355" s="140"/>
    </row>
    <row r="356" ht="12.75">
      <c r="N356" s="140"/>
    </row>
    <row r="357" ht="12.75">
      <c r="N357" s="140"/>
    </row>
    <row r="358" ht="12.75">
      <c r="N358" s="140"/>
    </row>
    <row r="359" ht="12.75">
      <c r="N359" s="140"/>
    </row>
    <row r="360" ht="12.75">
      <c r="N360" s="140"/>
    </row>
    <row r="361" ht="12.75">
      <c r="N361" s="140"/>
    </row>
  </sheetData>
  <sheetProtection/>
  <mergeCells count="21">
    <mergeCell ref="A1:E1"/>
    <mergeCell ref="B63:M63"/>
    <mergeCell ref="A34:E34"/>
    <mergeCell ref="A61:E61"/>
    <mergeCell ref="N63:N64"/>
    <mergeCell ref="B5:M5"/>
    <mergeCell ref="N5:N6"/>
    <mergeCell ref="B36:M36"/>
    <mergeCell ref="N36:N37"/>
    <mergeCell ref="N90:N91"/>
    <mergeCell ref="B171:M171"/>
    <mergeCell ref="N171:N172"/>
    <mergeCell ref="N117:N118"/>
    <mergeCell ref="B144:M144"/>
    <mergeCell ref="N144:N145"/>
    <mergeCell ref="B117:M117"/>
    <mergeCell ref="A88:E88"/>
    <mergeCell ref="A115:E115"/>
    <mergeCell ref="A142:E142"/>
    <mergeCell ref="A169:E169"/>
    <mergeCell ref="B90:M90"/>
  </mergeCells>
  <printOptions/>
  <pageMargins left="0.75" right="0.75" top="1" bottom="1" header="0.5" footer="0.5"/>
  <pageSetup horizontalDpi="600" verticalDpi="600" orientation="landscape" paperSize="9" scale="70" r:id="rId1"/>
  <rowBreaks count="6" manualBreakCount="6">
    <brk id="32" max="13" man="1"/>
    <brk id="59" max="13" man="1"/>
    <brk id="86" max="13" man="1"/>
    <brk id="113" max="13" man="1"/>
    <brk id="140" max="13" man="1"/>
    <brk id="16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"/>
  <sheetViews>
    <sheetView tabSelected="1" view="pageBreakPreview" zoomScale="60" zoomScalePageLayoutView="0" workbookViewId="0" topLeftCell="A13">
      <selection activeCell="J30" sqref="J30"/>
    </sheetView>
  </sheetViews>
  <sheetFormatPr defaultColWidth="9.140625" defaultRowHeight="12.75"/>
  <cols>
    <col min="1" max="1" width="9.140625" style="153" customWidth="1"/>
    <col min="2" max="2" width="20.8515625" style="0" customWidth="1"/>
    <col min="3" max="3" width="24.7109375" style="0" customWidth="1"/>
    <col min="4" max="4" width="29.140625" style="0" customWidth="1"/>
    <col min="5" max="5" width="18.00390625" style="0" customWidth="1"/>
    <col min="6" max="6" width="12.8515625" style="0" customWidth="1"/>
    <col min="7" max="7" width="16.57421875" style="0" customWidth="1"/>
    <col min="8" max="8" width="10.421875" style="0" customWidth="1"/>
    <col min="9" max="9" width="10.57421875" style="0" customWidth="1"/>
  </cols>
  <sheetData>
    <row r="1" spans="1:3" ht="15">
      <c r="A1" s="410" t="s">
        <v>187</v>
      </c>
      <c r="B1" s="410"/>
      <c r="C1" s="410"/>
    </row>
    <row r="3" spans="1:8" ht="15">
      <c r="A3" s="411" t="s">
        <v>188</v>
      </c>
      <c r="B3" s="411"/>
      <c r="C3" s="411"/>
      <c r="D3" s="411"/>
      <c r="E3" s="411"/>
      <c r="F3" s="411"/>
      <c r="G3" s="153"/>
      <c r="H3" s="154">
        <v>25</v>
      </c>
    </row>
    <row r="4" spans="2:8" ht="12.75">
      <c r="B4" s="153"/>
      <c r="C4" s="153"/>
      <c r="D4" s="153"/>
      <c r="E4" s="412" t="s">
        <v>189</v>
      </c>
      <c r="F4" s="412"/>
      <c r="G4" s="412"/>
      <c r="H4" s="154">
        <f>H3*40</f>
        <v>1000</v>
      </c>
    </row>
    <row r="5" spans="2:8" ht="12.75">
      <c r="B5" s="153"/>
      <c r="C5" s="153"/>
      <c r="D5" s="153"/>
      <c r="E5" s="412" t="s">
        <v>190</v>
      </c>
      <c r="F5" s="412"/>
      <c r="G5" s="412"/>
      <c r="H5" s="154">
        <f>I21/H4</f>
        <v>177.5862121212121</v>
      </c>
    </row>
    <row r="6" ht="13.5" thickBot="1"/>
    <row r="7" spans="1:9" s="160" customFormat="1" ht="26.25" thickBot="1">
      <c r="A7" s="155" t="s">
        <v>191</v>
      </c>
      <c r="B7" s="156" t="s">
        <v>192</v>
      </c>
      <c r="C7" s="156" t="s">
        <v>193</v>
      </c>
      <c r="D7" s="157" t="s">
        <v>194</v>
      </c>
      <c r="E7" s="158" t="s">
        <v>195</v>
      </c>
      <c r="F7" s="158" t="s">
        <v>196</v>
      </c>
      <c r="G7" s="158" t="s">
        <v>197</v>
      </c>
      <c r="H7" s="158" t="s">
        <v>198</v>
      </c>
      <c r="I7" s="159" t="s">
        <v>199</v>
      </c>
    </row>
    <row r="8" spans="1:9" ht="13.5" thickBot="1">
      <c r="A8" s="161">
        <v>1</v>
      </c>
      <c r="B8" s="162" t="s">
        <v>200</v>
      </c>
      <c r="C8" s="163" t="s">
        <v>201</v>
      </c>
      <c r="D8" s="164" t="s">
        <v>202</v>
      </c>
      <c r="E8" s="165" t="s">
        <v>203</v>
      </c>
      <c r="F8" s="166">
        <f>345/2*8/60*34*2/110</f>
        <v>14.218181818181819</v>
      </c>
      <c r="G8" s="166">
        <f>F8*H3</f>
        <v>355.4545454545455</v>
      </c>
      <c r="H8" s="165">
        <f>3800/200</f>
        <v>19</v>
      </c>
      <c r="I8" s="167">
        <f>H3*F8*H8</f>
        <v>6753.636363636364</v>
      </c>
    </row>
    <row r="9" spans="1:9" ht="13.5" thickBot="1">
      <c r="A9" s="413">
        <v>2</v>
      </c>
      <c r="B9" s="414" t="s">
        <v>204</v>
      </c>
      <c r="C9" s="414" t="s">
        <v>205</v>
      </c>
      <c r="D9" s="415" t="s">
        <v>206</v>
      </c>
      <c r="E9" s="169" t="s">
        <v>207</v>
      </c>
      <c r="F9" s="169">
        <v>200</v>
      </c>
      <c r="G9" s="169">
        <f>F9*H3</f>
        <v>5000</v>
      </c>
      <c r="H9" s="169">
        <v>10.5</v>
      </c>
      <c r="I9" s="170">
        <f>F9*H9*H3</f>
        <v>52500</v>
      </c>
    </row>
    <row r="10" spans="1:9" ht="13.5" thickBot="1">
      <c r="A10" s="413"/>
      <c r="B10" s="414"/>
      <c r="C10" s="414"/>
      <c r="D10" s="415"/>
      <c r="E10" s="171" t="s">
        <v>203</v>
      </c>
      <c r="F10" s="172">
        <f>F8/2</f>
        <v>7.109090909090909</v>
      </c>
      <c r="G10" s="172">
        <f>F10*H3</f>
        <v>177.72727272727275</v>
      </c>
      <c r="H10" s="171">
        <f>H8</f>
        <v>19</v>
      </c>
      <c r="I10" s="173">
        <f>F10*H3*H10</f>
        <v>3376.818181818182</v>
      </c>
    </row>
    <row r="11" spans="1:9" ht="13.5" thickBot="1">
      <c r="A11" s="413">
        <v>3</v>
      </c>
      <c r="B11" s="414" t="s">
        <v>208</v>
      </c>
      <c r="C11" s="416" t="s">
        <v>209</v>
      </c>
      <c r="D11" s="417" t="s">
        <v>210</v>
      </c>
      <c r="E11" s="169" t="s">
        <v>211</v>
      </c>
      <c r="F11" s="169">
        <v>1.5</v>
      </c>
      <c r="G11" s="169">
        <f>F11*H3</f>
        <v>37.5</v>
      </c>
      <c r="H11" s="169">
        <v>350</v>
      </c>
      <c r="I11" s="170">
        <f>F11*H3*H11</f>
        <v>13125</v>
      </c>
    </row>
    <row r="12" spans="1:9" ht="13.5" thickBot="1">
      <c r="A12" s="413"/>
      <c r="B12" s="414"/>
      <c r="C12" s="416"/>
      <c r="D12" s="417"/>
      <c r="E12" s="174" t="s">
        <v>203</v>
      </c>
      <c r="F12" s="175">
        <f>F10</f>
        <v>7.109090909090909</v>
      </c>
      <c r="G12" s="175">
        <f>F12*H3</f>
        <v>177.72727272727275</v>
      </c>
      <c r="H12" s="174">
        <f>H10</f>
        <v>19</v>
      </c>
      <c r="I12" s="176">
        <f>F12*H3*H12</f>
        <v>3376.818181818182</v>
      </c>
    </row>
    <row r="13" spans="1:9" ht="13.5" thickBot="1">
      <c r="A13" s="413"/>
      <c r="B13" s="414"/>
      <c r="C13" s="177" t="s">
        <v>212</v>
      </c>
      <c r="D13" s="178" t="s">
        <v>213</v>
      </c>
      <c r="E13" s="171" t="s">
        <v>203</v>
      </c>
      <c r="F13" s="172">
        <f>F12</f>
        <v>7.109090909090909</v>
      </c>
      <c r="G13" s="172">
        <f>F13*H3</f>
        <v>177.72727272727275</v>
      </c>
      <c r="H13" s="171">
        <f>H12</f>
        <v>19</v>
      </c>
      <c r="I13" s="173">
        <f>F13*H3*H13</f>
        <v>3376.818181818182</v>
      </c>
    </row>
    <row r="14" spans="1:9" ht="13.5" thickBot="1">
      <c r="A14" s="413">
        <v>4</v>
      </c>
      <c r="B14" s="414" t="s">
        <v>214</v>
      </c>
      <c r="C14" s="414" t="s">
        <v>215</v>
      </c>
      <c r="D14" s="415" t="s">
        <v>216</v>
      </c>
      <c r="E14" s="169" t="s">
        <v>217</v>
      </c>
      <c r="F14" s="169">
        <v>35</v>
      </c>
      <c r="G14" s="169">
        <f>F14*H3</f>
        <v>875</v>
      </c>
      <c r="H14" s="169">
        <v>60</v>
      </c>
      <c r="I14" s="170">
        <f>F14*H3*H14</f>
        <v>52500</v>
      </c>
    </row>
    <row r="15" spans="1:9" ht="13.5" thickBot="1">
      <c r="A15" s="413"/>
      <c r="B15" s="414"/>
      <c r="C15" s="414"/>
      <c r="D15" s="415"/>
      <c r="E15" s="171" t="str">
        <f>E13</f>
        <v>ДТ</v>
      </c>
      <c r="F15" s="172">
        <f>F13</f>
        <v>7.109090909090909</v>
      </c>
      <c r="G15" s="172">
        <f>F15*H3</f>
        <v>177.72727272727275</v>
      </c>
      <c r="H15" s="171">
        <v>19</v>
      </c>
      <c r="I15" s="173">
        <f>F15*H3*H15</f>
        <v>3376.818181818182</v>
      </c>
    </row>
    <row r="16" spans="1:9" ht="13.5" thickBot="1">
      <c r="A16" s="161">
        <v>5</v>
      </c>
      <c r="B16" s="162" t="s">
        <v>218</v>
      </c>
      <c r="C16" s="163" t="s">
        <v>219</v>
      </c>
      <c r="D16" s="168" t="s">
        <v>220</v>
      </c>
      <c r="E16" s="165" t="s">
        <v>203</v>
      </c>
      <c r="F16" s="166">
        <f>F15</f>
        <v>7.109090909090909</v>
      </c>
      <c r="G16" s="166">
        <f>F16*H3</f>
        <v>177.72727272727275</v>
      </c>
      <c r="H16" s="165">
        <f>H15</f>
        <v>19</v>
      </c>
      <c r="I16" s="167">
        <f>F16*H3*H16</f>
        <v>3376.818181818182</v>
      </c>
    </row>
    <row r="17" spans="1:9" ht="13.5" thickBot="1">
      <c r="A17" s="413">
        <v>6</v>
      </c>
      <c r="B17" s="414" t="s">
        <v>221</v>
      </c>
      <c r="C17" s="414" t="s">
        <v>209</v>
      </c>
      <c r="D17" s="415" t="str">
        <f>D11</f>
        <v>апрыскиватель</v>
      </c>
      <c r="E17" s="169" t="s">
        <v>222</v>
      </c>
      <c r="F17" s="169">
        <v>1</v>
      </c>
      <c r="G17" s="169">
        <f>F17*H3</f>
        <v>25</v>
      </c>
      <c r="H17" s="169">
        <v>200</v>
      </c>
      <c r="I17" s="170">
        <f>F17*H3*H17</f>
        <v>5000</v>
      </c>
    </row>
    <row r="18" spans="1:9" ht="13.5" thickBot="1">
      <c r="A18" s="413"/>
      <c r="B18" s="414"/>
      <c r="C18" s="414"/>
      <c r="D18" s="415"/>
      <c r="E18" s="171" t="str">
        <f>E16</f>
        <v>ДТ</v>
      </c>
      <c r="F18" s="172">
        <f>F16</f>
        <v>7.109090909090909</v>
      </c>
      <c r="G18" s="172">
        <f>F18*H3</f>
        <v>177.72727272727275</v>
      </c>
      <c r="H18" s="171">
        <f>H16</f>
        <v>19</v>
      </c>
      <c r="I18" s="173">
        <f>F18*H18*H3</f>
        <v>3376.8181818181815</v>
      </c>
    </row>
    <row r="19" spans="1:9" ht="13.5" thickBot="1">
      <c r="A19" s="161">
        <v>7</v>
      </c>
      <c r="B19" s="162" t="s">
        <v>223</v>
      </c>
      <c r="C19" s="179" t="s">
        <v>224</v>
      </c>
      <c r="D19" s="168" t="s">
        <v>225</v>
      </c>
      <c r="E19" s="180" t="s">
        <v>226</v>
      </c>
      <c r="F19" s="181"/>
      <c r="G19" s="165">
        <f>H3/4</f>
        <v>6.25</v>
      </c>
      <c r="H19" s="165">
        <v>2000</v>
      </c>
      <c r="I19" s="182">
        <f>G19*H19</f>
        <v>12500</v>
      </c>
    </row>
    <row r="20" spans="1:9" ht="13.5" thickBot="1">
      <c r="A20" s="183">
        <v>8</v>
      </c>
      <c r="B20" s="162" t="s">
        <v>223</v>
      </c>
      <c r="C20" s="184" t="s">
        <v>227</v>
      </c>
      <c r="D20" s="185" t="s">
        <v>228</v>
      </c>
      <c r="E20" s="186" t="s">
        <v>229</v>
      </c>
      <c r="F20" s="187">
        <f>1/15</f>
        <v>0.06666666666666667</v>
      </c>
      <c r="G20" s="188">
        <f>F20*H4</f>
        <v>66.66666666666667</v>
      </c>
      <c r="H20" s="186">
        <f>190*1.18</f>
        <v>224.2</v>
      </c>
      <c r="I20" s="189">
        <f>G20*H20</f>
        <v>14946.666666666668</v>
      </c>
    </row>
    <row r="21" spans="1:9" ht="13.5" thickBot="1">
      <c r="A21" s="161" t="s">
        <v>230</v>
      </c>
      <c r="B21" s="162"/>
      <c r="C21" s="162"/>
      <c r="D21" s="190"/>
      <c r="E21" s="165"/>
      <c r="F21" s="165"/>
      <c r="G21" s="165"/>
      <c r="H21" s="165"/>
      <c r="I21" s="167">
        <f>SUM(I8:I20)</f>
        <v>177586.2121212121</v>
      </c>
    </row>
    <row r="22" ht="12.75"/>
    <row r="25" spans="1:8" ht="15">
      <c r="A25" s="411" t="s">
        <v>231</v>
      </c>
      <c r="B25" s="411"/>
      <c r="C25" s="411"/>
      <c r="D25" s="411"/>
      <c r="E25" s="411"/>
      <c r="F25" s="411"/>
      <c r="G25" s="153"/>
      <c r="H25" s="154">
        <v>17.2</v>
      </c>
    </row>
    <row r="26" spans="2:8" ht="12.75">
      <c r="B26" s="153"/>
      <c r="C26" s="153"/>
      <c r="D26" s="153"/>
      <c r="E26" s="412" t="s">
        <v>189</v>
      </c>
      <c r="F26" s="412"/>
      <c r="G26" s="412"/>
      <c r="H26" s="154">
        <f>H25*35</f>
        <v>602</v>
      </c>
    </row>
    <row r="27" spans="2:8" ht="12.75">
      <c r="B27" s="153"/>
      <c r="C27" s="153"/>
      <c r="D27" s="153"/>
      <c r="E27" s="412" t="s">
        <v>190</v>
      </c>
      <c r="F27" s="412"/>
      <c r="G27" s="412"/>
      <c r="H27" s="154">
        <f>I42/H26</f>
        <v>122.110303030303</v>
      </c>
    </row>
    <row r="28" ht="13.5" thickBot="1"/>
    <row r="29" spans="1:9" ht="26.25" thickBot="1">
      <c r="A29" s="155" t="s">
        <v>191</v>
      </c>
      <c r="B29" s="191" t="s">
        <v>192</v>
      </c>
      <c r="C29" s="156" t="s">
        <v>193</v>
      </c>
      <c r="D29" s="157" t="s">
        <v>194</v>
      </c>
      <c r="E29" s="158" t="s">
        <v>195</v>
      </c>
      <c r="F29" s="158" t="s">
        <v>196</v>
      </c>
      <c r="G29" s="158" t="s">
        <v>197</v>
      </c>
      <c r="H29" s="158" t="s">
        <v>198</v>
      </c>
      <c r="I29" s="159" t="s">
        <v>199</v>
      </c>
    </row>
    <row r="30" spans="1:9" ht="13.5" thickBot="1">
      <c r="A30" s="161">
        <v>1</v>
      </c>
      <c r="B30" s="192" t="s">
        <v>200</v>
      </c>
      <c r="C30" s="163" t="s">
        <v>201</v>
      </c>
      <c r="D30" s="164" t="s">
        <v>232</v>
      </c>
      <c r="E30" s="165" t="s">
        <v>203</v>
      </c>
      <c r="F30" s="166">
        <f>345/2*8/60*34*2/110</f>
        <v>14.218181818181819</v>
      </c>
      <c r="G30" s="193">
        <f>F30*H25</f>
        <v>244.55272727272728</v>
      </c>
      <c r="H30" s="165">
        <v>19</v>
      </c>
      <c r="I30" s="167">
        <f>H25*F30*H30</f>
        <v>4646.501818181819</v>
      </c>
    </row>
    <row r="31" spans="1:9" ht="13.5" thickBot="1">
      <c r="A31" s="413">
        <v>2</v>
      </c>
      <c r="B31" s="418" t="s">
        <v>204</v>
      </c>
      <c r="C31" s="414" t="s">
        <v>205</v>
      </c>
      <c r="D31" s="415" t="s">
        <v>206</v>
      </c>
      <c r="E31" s="169" t="s">
        <v>207</v>
      </c>
      <c r="F31" s="169">
        <v>100</v>
      </c>
      <c r="G31" s="194">
        <f>F31*H25</f>
        <v>1720</v>
      </c>
      <c r="H31" s="169">
        <v>10.5</v>
      </c>
      <c r="I31" s="170">
        <f>F31*H31*H25</f>
        <v>18060</v>
      </c>
    </row>
    <row r="32" spans="1:9" ht="13.5" thickBot="1">
      <c r="A32" s="413"/>
      <c r="B32" s="418"/>
      <c r="C32" s="414"/>
      <c r="D32" s="415"/>
      <c r="E32" s="171" t="s">
        <v>203</v>
      </c>
      <c r="F32" s="172">
        <f>F30/2</f>
        <v>7.109090909090909</v>
      </c>
      <c r="G32" s="195">
        <f>F32*H25</f>
        <v>122.27636363636364</v>
      </c>
      <c r="H32" s="171">
        <f>H30</f>
        <v>19</v>
      </c>
      <c r="I32" s="173">
        <f>F32*H25*H32</f>
        <v>2323.2509090909093</v>
      </c>
    </row>
    <row r="33" spans="1:9" ht="13.5" thickBot="1">
      <c r="A33" s="196">
        <v>3</v>
      </c>
      <c r="B33" s="197" t="s">
        <v>233</v>
      </c>
      <c r="C33" s="198" t="s">
        <v>234</v>
      </c>
      <c r="D33" s="199" t="s">
        <v>232</v>
      </c>
      <c r="E33" s="200" t="str">
        <f>E32</f>
        <v>ДТ</v>
      </c>
      <c r="F33" s="201">
        <f>F32</f>
        <v>7.109090909090909</v>
      </c>
      <c r="G33" s="202">
        <f>F33*H25</f>
        <v>122.27636363636364</v>
      </c>
      <c r="H33" s="200">
        <f>H32</f>
        <v>19</v>
      </c>
      <c r="I33" s="203">
        <f>F33*H25*H33</f>
        <v>2323.2509090909093</v>
      </c>
    </row>
    <row r="34" spans="1:9" ht="13.5" thickBot="1">
      <c r="A34" s="413">
        <v>4</v>
      </c>
      <c r="B34" s="418" t="s">
        <v>235</v>
      </c>
      <c r="C34" s="414" t="s">
        <v>215</v>
      </c>
      <c r="D34" s="419" t="s">
        <v>236</v>
      </c>
      <c r="E34" s="169" t="s">
        <v>217</v>
      </c>
      <c r="F34" s="169">
        <v>50</v>
      </c>
      <c r="G34" s="194">
        <f>F34*H25</f>
        <v>860</v>
      </c>
      <c r="H34" s="169">
        <v>27</v>
      </c>
      <c r="I34" s="170">
        <f>F34*H25*H34</f>
        <v>23220</v>
      </c>
    </row>
    <row r="35" spans="1:9" ht="13.5" thickBot="1">
      <c r="A35" s="413"/>
      <c r="B35" s="418"/>
      <c r="C35" s="414"/>
      <c r="D35" s="419"/>
      <c r="E35" s="171" t="s">
        <v>237</v>
      </c>
      <c r="F35" s="172">
        <f>F32</f>
        <v>7.109090909090909</v>
      </c>
      <c r="G35" s="204">
        <f>F35*H25</f>
        <v>122.27636363636364</v>
      </c>
      <c r="H35" s="171">
        <f>H32</f>
        <v>19</v>
      </c>
      <c r="I35" s="173">
        <f>F35*H25*H35</f>
        <v>2323.2509090909093</v>
      </c>
    </row>
    <row r="36" spans="1:9" ht="13.5" thickBot="1">
      <c r="A36" s="161">
        <v>5</v>
      </c>
      <c r="B36" s="205" t="s">
        <v>218</v>
      </c>
      <c r="C36" s="163" t="s">
        <v>219</v>
      </c>
      <c r="D36" s="199" t="s">
        <v>219</v>
      </c>
      <c r="E36" s="165" t="s">
        <v>203</v>
      </c>
      <c r="F36" s="166">
        <f>F35</f>
        <v>7.109090909090909</v>
      </c>
      <c r="G36" s="206">
        <f>F36*H25</f>
        <v>122.27636363636364</v>
      </c>
      <c r="H36" s="165">
        <f>H35</f>
        <v>19</v>
      </c>
      <c r="I36" s="167">
        <f>F36*H25*H36</f>
        <v>2323.2509090909093</v>
      </c>
    </row>
    <row r="37" spans="1:9" ht="13.5" thickBot="1">
      <c r="A37" s="413">
        <v>6</v>
      </c>
      <c r="B37" s="418" t="s">
        <v>238</v>
      </c>
      <c r="C37" s="414" t="s">
        <v>224</v>
      </c>
      <c r="D37" s="207" t="s">
        <v>239</v>
      </c>
      <c r="E37" s="169" t="s">
        <v>203</v>
      </c>
      <c r="F37" s="208">
        <f>F36</f>
        <v>7.109090909090909</v>
      </c>
      <c r="G37" s="209">
        <f>F37*H25</f>
        <v>122.27636363636364</v>
      </c>
      <c r="H37" s="169">
        <f>H36</f>
        <v>19</v>
      </c>
      <c r="I37" s="210">
        <f>F37*H25*H37</f>
        <v>2323.2509090909093</v>
      </c>
    </row>
    <row r="38" spans="1:9" ht="13.5" thickBot="1">
      <c r="A38" s="413"/>
      <c r="B38" s="418"/>
      <c r="C38" s="414"/>
      <c r="D38" s="211" t="s">
        <v>240</v>
      </c>
      <c r="E38" s="171" t="str">
        <f>E37</f>
        <v>ДТ</v>
      </c>
      <c r="F38" s="172">
        <f>F37</f>
        <v>7.109090909090909</v>
      </c>
      <c r="G38" s="204">
        <f>F38*H25</f>
        <v>122.27636363636364</v>
      </c>
      <c r="H38" s="171">
        <f>H37</f>
        <v>19</v>
      </c>
      <c r="I38" s="173">
        <f>F38*H25*H38</f>
        <v>2323.2509090909093</v>
      </c>
    </row>
    <row r="39" spans="1:9" ht="13.5" thickBot="1">
      <c r="A39" s="413">
        <v>7</v>
      </c>
      <c r="B39" s="418" t="s">
        <v>241</v>
      </c>
      <c r="C39" s="414"/>
      <c r="D39" s="207" t="s">
        <v>239</v>
      </c>
      <c r="E39" s="169" t="str">
        <f>E38</f>
        <v>ДТ</v>
      </c>
      <c r="F39" s="208">
        <f>F38</f>
        <v>7.109090909090909</v>
      </c>
      <c r="G39" s="209">
        <f>F39*H25</f>
        <v>122.27636363636364</v>
      </c>
      <c r="H39" s="169">
        <f>H38</f>
        <v>19</v>
      </c>
      <c r="I39" s="210">
        <f>F39*H25*H39</f>
        <v>2323.2509090909093</v>
      </c>
    </row>
    <row r="40" spans="1:9" ht="13.5" thickBot="1">
      <c r="A40" s="413"/>
      <c r="B40" s="418"/>
      <c r="C40" s="414"/>
      <c r="D40" s="211" t="s">
        <v>242</v>
      </c>
      <c r="E40" s="171" t="str">
        <f>E39</f>
        <v>ДТ</v>
      </c>
      <c r="F40" s="172">
        <f>F39</f>
        <v>7.109090909090909</v>
      </c>
      <c r="G40" s="204">
        <f>F40*H25</f>
        <v>122.27636363636364</v>
      </c>
      <c r="H40" s="171">
        <f>H39</f>
        <v>19</v>
      </c>
      <c r="I40" s="173">
        <f>F40*H25*H40</f>
        <v>2323.2509090909093</v>
      </c>
    </row>
    <row r="41" spans="1:9" ht="13.5" thickBot="1">
      <c r="A41" s="161">
        <v>8</v>
      </c>
      <c r="B41" s="212" t="str">
        <f>B39</f>
        <v>30.08.2008 г.</v>
      </c>
      <c r="C41" s="163" t="s">
        <v>227</v>
      </c>
      <c r="D41" s="213" t="s">
        <v>228</v>
      </c>
      <c r="E41" s="165" t="s">
        <v>229</v>
      </c>
      <c r="F41" s="214">
        <f>1/15</f>
        <v>0.06666666666666667</v>
      </c>
      <c r="G41" s="206">
        <f>F41*H26</f>
        <v>40.13333333333333</v>
      </c>
      <c r="H41" s="165">
        <f>190*1.18</f>
        <v>224.2</v>
      </c>
      <c r="I41" s="167">
        <f>H41*G41</f>
        <v>8997.893333333333</v>
      </c>
    </row>
    <row r="42" spans="1:9" ht="13.5" thickBot="1">
      <c r="A42" s="215" t="s">
        <v>230</v>
      </c>
      <c r="B42" s="216"/>
      <c r="C42" s="217"/>
      <c r="D42" s="218"/>
      <c r="E42" s="219"/>
      <c r="F42" s="219"/>
      <c r="G42" s="219"/>
      <c r="H42" s="219"/>
      <c r="I42" s="220">
        <f>SUM(I30:I41)</f>
        <v>73510.4024242424</v>
      </c>
    </row>
    <row r="46" spans="1:8" ht="15">
      <c r="A46" s="411" t="s">
        <v>243</v>
      </c>
      <c r="B46" s="411"/>
      <c r="C46" s="411"/>
      <c r="D46" s="411"/>
      <c r="E46" s="411"/>
      <c r="F46" s="411"/>
      <c r="G46" s="153"/>
      <c r="H46" s="154">
        <v>14</v>
      </c>
    </row>
    <row r="47" spans="2:8" ht="12.75">
      <c r="B47" s="153"/>
      <c r="C47" s="153"/>
      <c r="D47" s="153"/>
      <c r="E47" s="412" t="s">
        <v>189</v>
      </c>
      <c r="F47" s="412"/>
      <c r="G47" s="412"/>
      <c r="H47" s="154">
        <f>H46*10</f>
        <v>140</v>
      </c>
    </row>
    <row r="48" spans="2:8" ht="12.75">
      <c r="B48" s="153"/>
      <c r="C48" s="153"/>
      <c r="D48" s="153"/>
      <c r="E48" s="412" t="s">
        <v>190</v>
      </c>
      <c r="F48" s="412"/>
      <c r="G48" s="412"/>
      <c r="H48" s="154">
        <f>I62/H47</f>
        <v>327.0727272727272</v>
      </c>
    </row>
    <row r="49" ht="13.5" thickBot="1"/>
    <row r="50" spans="1:9" ht="26.25" thickBot="1">
      <c r="A50" s="155" t="s">
        <v>191</v>
      </c>
      <c r="B50" s="191" t="s">
        <v>192</v>
      </c>
      <c r="C50" s="156" t="s">
        <v>193</v>
      </c>
      <c r="D50" s="157" t="s">
        <v>194</v>
      </c>
      <c r="E50" s="158" t="s">
        <v>195</v>
      </c>
      <c r="F50" s="158" t="s">
        <v>244</v>
      </c>
      <c r="G50" s="158" t="s">
        <v>197</v>
      </c>
      <c r="H50" s="158" t="s">
        <v>198</v>
      </c>
      <c r="I50" s="159" t="s">
        <v>199</v>
      </c>
    </row>
    <row r="51" spans="1:9" ht="13.5" thickBot="1">
      <c r="A51" s="161">
        <v>1</v>
      </c>
      <c r="B51" s="192" t="s">
        <v>200</v>
      </c>
      <c r="C51" s="163" t="s">
        <v>201</v>
      </c>
      <c r="D51" s="221" t="s">
        <v>232</v>
      </c>
      <c r="E51" s="165" t="s">
        <v>203</v>
      </c>
      <c r="F51" s="166">
        <f>345/2*8/60*34*2/110</f>
        <v>14.218181818181819</v>
      </c>
      <c r="G51" s="193">
        <f>F51*H46</f>
        <v>199.05454545454546</v>
      </c>
      <c r="H51" s="165">
        <v>19</v>
      </c>
      <c r="I51" s="167">
        <f>H46*F51*H51</f>
        <v>3782.0363636363636</v>
      </c>
    </row>
    <row r="52" spans="1:9" ht="13.5" thickBot="1">
      <c r="A52" s="413">
        <v>2</v>
      </c>
      <c r="B52" s="418" t="s">
        <v>204</v>
      </c>
      <c r="C52" s="414" t="s">
        <v>205</v>
      </c>
      <c r="D52" s="415" t="s">
        <v>206</v>
      </c>
      <c r="E52" s="169" t="s">
        <v>207</v>
      </c>
      <c r="F52" s="169">
        <v>80</v>
      </c>
      <c r="G52" s="194">
        <f>F52*H46</f>
        <v>1120</v>
      </c>
      <c r="H52" s="169">
        <v>10.5</v>
      </c>
      <c r="I52" s="170">
        <f>F52*H52*H46</f>
        <v>11760</v>
      </c>
    </row>
    <row r="53" spans="1:9" ht="13.5" thickBot="1">
      <c r="A53" s="413"/>
      <c r="B53" s="418"/>
      <c r="C53" s="414"/>
      <c r="D53" s="415"/>
      <c r="E53" s="171" t="s">
        <v>203</v>
      </c>
      <c r="F53" s="172">
        <f>F51/2</f>
        <v>7.109090909090909</v>
      </c>
      <c r="G53" s="195">
        <f>F53*H46</f>
        <v>99.52727272727273</v>
      </c>
      <c r="H53" s="171">
        <f>H51</f>
        <v>19</v>
      </c>
      <c r="I53" s="173">
        <f>F53*H46*H53</f>
        <v>1891.0181818181818</v>
      </c>
    </row>
    <row r="54" spans="1:9" ht="13.5" thickBot="1">
      <c r="A54" s="196">
        <v>3</v>
      </c>
      <c r="B54" s="197" t="s">
        <v>233</v>
      </c>
      <c r="C54" s="198" t="s">
        <v>234</v>
      </c>
      <c r="D54" s="199" t="s">
        <v>232</v>
      </c>
      <c r="E54" s="200" t="str">
        <f>E53</f>
        <v>ДТ</v>
      </c>
      <c r="F54" s="201">
        <f>F53</f>
        <v>7.109090909090909</v>
      </c>
      <c r="G54" s="202">
        <f>F54*H46</f>
        <v>99.52727272727273</v>
      </c>
      <c r="H54" s="200">
        <f>H53</f>
        <v>19</v>
      </c>
      <c r="I54" s="203">
        <f>F54*H46*H54</f>
        <v>1891.0181818181818</v>
      </c>
    </row>
    <row r="55" spans="1:9" ht="13.5" thickBot="1">
      <c r="A55" s="413">
        <v>4</v>
      </c>
      <c r="B55" s="418" t="s">
        <v>235</v>
      </c>
      <c r="C55" s="414" t="s">
        <v>215</v>
      </c>
      <c r="D55" s="419" t="s">
        <v>236</v>
      </c>
      <c r="E55" s="169" t="s">
        <v>217</v>
      </c>
      <c r="F55" s="169">
        <v>40</v>
      </c>
      <c r="G55" s="194">
        <f>F55*H46</f>
        <v>560</v>
      </c>
      <c r="H55" s="169">
        <v>27</v>
      </c>
      <c r="I55" s="170">
        <f>F55*H46*H55</f>
        <v>15120</v>
      </c>
    </row>
    <row r="56" spans="1:9" ht="13.5" thickBot="1">
      <c r="A56" s="413"/>
      <c r="B56" s="418"/>
      <c r="C56" s="414"/>
      <c r="D56" s="419"/>
      <c r="E56" s="171" t="s">
        <v>237</v>
      </c>
      <c r="F56" s="172">
        <f>F53</f>
        <v>7.109090909090909</v>
      </c>
      <c r="G56" s="204">
        <f>F56*H46</f>
        <v>99.52727272727273</v>
      </c>
      <c r="H56" s="171">
        <f>H53</f>
        <v>19</v>
      </c>
      <c r="I56" s="173">
        <f>F56*H46*H56</f>
        <v>1891.0181818181818</v>
      </c>
    </row>
    <row r="57" spans="1:9" ht="13.5" thickBot="1">
      <c r="A57" s="161">
        <v>5</v>
      </c>
      <c r="B57" s="222" t="s">
        <v>218</v>
      </c>
      <c r="C57" s="163" t="s">
        <v>219</v>
      </c>
      <c r="D57" s="199" t="s">
        <v>219</v>
      </c>
      <c r="E57" s="165" t="s">
        <v>203</v>
      </c>
      <c r="F57" s="166">
        <f>F56</f>
        <v>7.109090909090909</v>
      </c>
      <c r="G57" s="206">
        <f>F57*H46</f>
        <v>99.52727272727273</v>
      </c>
      <c r="H57" s="165">
        <f>H56</f>
        <v>19</v>
      </c>
      <c r="I57" s="167">
        <f>F57*H46*H57</f>
        <v>1891.0181818181818</v>
      </c>
    </row>
    <row r="58" spans="1:9" ht="13.5" thickBot="1">
      <c r="A58" s="413">
        <v>6</v>
      </c>
      <c r="B58" s="418" t="s">
        <v>238</v>
      </c>
      <c r="C58" s="414" t="s">
        <v>224</v>
      </c>
      <c r="D58" s="207" t="s">
        <v>239</v>
      </c>
      <c r="E58" s="169" t="s">
        <v>203</v>
      </c>
      <c r="F58" s="208">
        <f>F57</f>
        <v>7.109090909090909</v>
      </c>
      <c r="G58" s="209">
        <f>F58*H46</f>
        <v>99.52727272727273</v>
      </c>
      <c r="H58" s="169">
        <f>H57</f>
        <v>19</v>
      </c>
      <c r="I58" s="210">
        <f>F58*H46*H58</f>
        <v>1891.0181818181818</v>
      </c>
    </row>
    <row r="59" spans="1:9" ht="13.5" thickBot="1">
      <c r="A59" s="413"/>
      <c r="B59" s="418"/>
      <c r="C59" s="414"/>
      <c r="D59" s="211" t="s">
        <v>240</v>
      </c>
      <c r="E59" s="171" t="str">
        <f>E58</f>
        <v>ДТ</v>
      </c>
      <c r="F59" s="172">
        <f>F58</f>
        <v>7.109090909090909</v>
      </c>
      <c r="G59" s="204">
        <f>F59*H46</f>
        <v>99.52727272727273</v>
      </c>
      <c r="H59" s="171">
        <f>H58</f>
        <v>19</v>
      </c>
      <c r="I59" s="173">
        <f>F59*H46*H59</f>
        <v>1891.0181818181818</v>
      </c>
    </row>
    <row r="60" spans="1:9" ht="13.5" thickBot="1">
      <c r="A60" s="413">
        <v>7</v>
      </c>
      <c r="B60" s="418" t="s">
        <v>241</v>
      </c>
      <c r="C60" s="414"/>
      <c r="D60" s="207" t="s">
        <v>239</v>
      </c>
      <c r="E60" s="169" t="str">
        <f>E59</f>
        <v>ДТ</v>
      </c>
      <c r="F60" s="208">
        <f>F59</f>
        <v>7.109090909090909</v>
      </c>
      <c r="G60" s="209">
        <f>F60*H46</f>
        <v>99.52727272727273</v>
      </c>
      <c r="H60" s="169">
        <f>H59</f>
        <v>19</v>
      </c>
      <c r="I60" s="210">
        <f>F60*H46*H60</f>
        <v>1891.0181818181818</v>
      </c>
    </row>
    <row r="61" spans="1:9" ht="13.5" thickBot="1">
      <c r="A61" s="413"/>
      <c r="B61" s="418"/>
      <c r="C61" s="414"/>
      <c r="D61" s="211" t="s">
        <v>242</v>
      </c>
      <c r="E61" s="171" t="str">
        <f>E60</f>
        <v>ДТ</v>
      </c>
      <c r="F61" s="172">
        <f>F60</f>
        <v>7.109090909090909</v>
      </c>
      <c r="G61" s="204">
        <f>F61*H46</f>
        <v>99.52727272727273</v>
      </c>
      <c r="H61" s="171">
        <f>H60</f>
        <v>19</v>
      </c>
      <c r="I61" s="173">
        <f>F61*H46*H61</f>
        <v>1891.0181818181818</v>
      </c>
    </row>
    <row r="62" spans="1:9" ht="13.5" thickBot="1">
      <c r="A62" s="161" t="s">
        <v>230</v>
      </c>
      <c r="B62" s="205"/>
      <c r="C62" s="162"/>
      <c r="D62" s="218"/>
      <c r="E62" s="219"/>
      <c r="F62" s="219"/>
      <c r="G62" s="223"/>
      <c r="H62" s="219"/>
      <c r="I62" s="220">
        <f>SUM(I51:I61)</f>
        <v>45790.18181818181</v>
      </c>
    </row>
    <row r="64" ht="13.5" thickBot="1"/>
    <row r="65" spans="1:9" ht="13.5" thickBot="1">
      <c r="A65" s="420" t="s">
        <v>245</v>
      </c>
      <c r="B65" s="420"/>
      <c r="C65" s="224"/>
      <c r="D65" s="224"/>
      <c r="E65" s="224"/>
      <c r="F65" s="224"/>
      <c r="G65" s="224"/>
      <c r="H65" s="224"/>
      <c r="I65" s="225">
        <f>I21+I42+I62</f>
        <v>296886.7963636363</v>
      </c>
    </row>
  </sheetData>
  <sheetProtection/>
  <mergeCells count="53">
    <mergeCell ref="D55:D56"/>
    <mergeCell ref="A58:A59"/>
    <mergeCell ref="B58:B59"/>
    <mergeCell ref="C58:C61"/>
    <mergeCell ref="A60:A61"/>
    <mergeCell ref="B60:B61"/>
    <mergeCell ref="A65:B65"/>
    <mergeCell ref="A55:A56"/>
    <mergeCell ref="B55:B56"/>
    <mergeCell ref="C55:C56"/>
    <mergeCell ref="A46:F46"/>
    <mergeCell ref="E47:G47"/>
    <mergeCell ref="E48:G48"/>
    <mergeCell ref="A52:A53"/>
    <mergeCell ref="B52:B53"/>
    <mergeCell ref="C52:C53"/>
    <mergeCell ref="D52:D53"/>
    <mergeCell ref="A37:A38"/>
    <mergeCell ref="B37:B38"/>
    <mergeCell ref="C37:C40"/>
    <mergeCell ref="A39:A40"/>
    <mergeCell ref="B39:B40"/>
    <mergeCell ref="A34:A35"/>
    <mergeCell ref="B34:B35"/>
    <mergeCell ref="C34:C35"/>
    <mergeCell ref="D34:D35"/>
    <mergeCell ref="A25:F25"/>
    <mergeCell ref="E26:G26"/>
    <mergeCell ref="E27:G27"/>
    <mergeCell ref="A31:A32"/>
    <mergeCell ref="B31:B32"/>
    <mergeCell ref="C31:C32"/>
    <mergeCell ref="D31:D32"/>
    <mergeCell ref="A17:A18"/>
    <mergeCell ref="B17:B18"/>
    <mergeCell ref="C17:C18"/>
    <mergeCell ref="D17:D18"/>
    <mergeCell ref="A14:A15"/>
    <mergeCell ref="B14:B15"/>
    <mergeCell ref="C14:C15"/>
    <mergeCell ref="D14:D15"/>
    <mergeCell ref="A11:A13"/>
    <mergeCell ref="B11:B13"/>
    <mergeCell ref="C11:C12"/>
    <mergeCell ref="D11:D12"/>
    <mergeCell ref="A9:A10"/>
    <mergeCell ref="B9:B10"/>
    <mergeCell ref="C9:C10"/>
    <mergeCell ref="D9:D10"/>
    <mergeCell ref="A1:C1"/>
    <mergeCell ref="A3:F3"/>
    <mergeCell ref="E4:G4"/>
    <mergeCell ref="E5:G5"/>
  </mergeCells>
  <printOptions/>
  <pageMargins left="0.7" right="0.7" top="0.75" bottom="0.75" header="0.3" footer="0.3"/>
  <pageSetup horizontalDpi="600" verticalDpi="600" orientation="portrait" paperSize="9" scale="5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7"/>
  <sheetViews>
    <sheetView view="pageBreakPreview" zoomScale="60" zoomScalePageLayoutView="0" workbookViewId="0" topLeftCell="A13">
      <selection activeCell="J38" sqref="J38"/>
    </sheetView>
  </sheetViews>
  <sheetFormatPr defaultColWidth="9.140625" defaultRowHeight="12.75"/>
  <cols>
    <col min="1" max="1" width="9.140625" style="128" customWidth="1"/>
    <col min="2" max="2" width="22.140625" style="127" bestFit="1" customWidth="1"/>
    <col min="3" max="3" width="20.140625" style="127" customWidth="1"/>
    <col min="4" max="4" width="19.7109375" style="127" customWidth="1"/>
    <col min="5" max="5" width="21.00390625" style="127" customWidth="1"/>
    <col min="6" max="6" width="21.7109375" style="127" customWidth="1"/>
    <col min="7" max="7" width="12.140625" style="127" customWidth="1"/>
    <col min="8" max="8" width="8.57421875" style="127" customWidth="1"/>
    <col min="9" max="9" width="12.28125" style="127" bestFit="1" customWidth="1"/>
    <col min="10" max="10" width="10.28125" style="127" bestFit="1" customWidth="1"/>
    <col min="11" max="11" width="14.8515625" style="127" customWidth="1"/>
    <col min="12" max="13" width="10.28125" style="127" bestFit="1" customWidth="1"/>
    <col min="14" max="14" width="19.7109375" style="127" bestFit="1" customWidth="1"/>
    <col min="15" max="15" width="10.28125" style="127" bestFit="1" customWidth="1"/>
    <col min="16" max="16" width="9.140625" style="126" customWidth="1"/>
    <col min="17" max="16384" width="9.140625" style="125" customWidth="1"/>
  </cols>
  <sheetData>
    <row r="1" spans="1:11" ht="12.75">
      <c r="A1" s="274"/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>
      <c r="A2" s="393" t="s">
        <v>291</v>
      </c>
      <c r="B2" s="393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12.75">
      <c r="A4" s="423" t="s">
        <v>282</v>
      </c>
      <c r="B4" s="424"/>
      <c r="C4" s="424"/>
      <c r="D4" s="424"/>
      <c r="E4" s="424"/>
      <c r="F4" s="424"/>
      <c r="G4" s="424"/>
      <c r="H4" s="424"/>
      <c r="I4" s="424"/>
      <c r="J4" s="424"/>
      <c r="K4" s="425"/>
    </row>
    <row r="5" spans="1:16" s="253" customFormat="1" ht="12.75">
      <c r="A5" s="277"/>
      <c r="B5" s="278" t="s">
        <v>250</v>
      </c>
      <c r="C5" s="279"/>
      <c r="D5" s="279"/>
      <c r="E5" s="279"/>
      <c r="F5" s="279"/>
      <c r="G5" s="279"/>
      <c r="H5" s="279"/>
      <c r="I5" s="279"/>
      <c r="J5" s="279"/>
      <c r="K5" s="278" t="s">
        <v>251</v>
      </c>
      <c r="L5" s="238"/>
      <c r="M5" s="238"/>
      <c r="N5" s="238"/>
      <c r="O5" s="238"/>
      <c r="P5" s="256"/>
    </row>
    <row r="6" spans="1:16" s="253" customFormat="1" ht="12.75">
      <c r="A6" s="277"/>
      <c r="B6" s="278" t="s">
        <v>274</v>
      </c>
      <c r="C6" s="426" t="s">
        <v>273</v>
      </c>
      <c r="D6" s="427"/>
      <c r="E6" s="427"/>
      <c r="F6" s="427"/>
      <c r="G6" s="427"/>
      <c r="H6" s="427"/>
      <c r="I6" s="427"/>
      <c r="J6" s="428"/>
      <c r="K6" s="278" t="s">
        <v>252</v>
      </c>
      <c r="L6" s="238"/>
      <c r="M6" s="238"/>
      <c r="N6" s="238"/>
      <c r="O6" s="238"/>
      <c r="P6" s="256"/>
    </row>
    <row r="7" spans="1:16" s="253" customFormat="1" ht="12.75">
      <c r="A7" s="277"/>
      <c r="B7" s="278" t="s">
        <v>275</v>
      </c>
      <c r="C7" s="279"/>
      <c r="D7" s="279"/>
      <c r="E7" s="279"/>
      <c r="F7" s="279"/>
      <c r="G7" s="279"/>
      <c r="H7" s="279"/>
      <c r="I7" s="279"/>
      <c r="J7" s="279"/>
      <c r="K7" s="278" t="s">
        <v>253</v>
      </c>
      <c r="L7" s="238"/>
      <c r="M7" s="238"/>
      <c r="N7" s="238"/>
      <c r="O7" s="238"/>
      <c r="P7" s="256"/>
    </row>
    <row r="8" spans="1:12" s="260" customFormat="1" ht="12.75">
      <c r="A8" s="277"/>
      <c r="B8" s="280" t="s">
        <v>292</v>
      </c>
      <c r="C8" s="281">
        <v>1</v>
      </c>
      <c r="D8" s="281">
        <v>2</v>
      </c>
      <c r="E8" s="281">
        <v>3</v>
      </c>
      <c r="F8" s="281">
        <v>4</v>
      </c>
      <c r="G8" s="281">
        <v>5</v>
      </c>
      <c r="H8" s="281">
        <v>6</v>
      </c>
      <c r="I8" s="281">
        <v>7</v>
      </c>
      <c r="J8" s="281">
        <v>8</v>
      </c>
      <c r="K8" s="280" t="s">
        <v>254</v>
      </c>
      <c r="L8" s="259"/>
    </row>
    <row r="9" spans="1:13" s="263" customFormat="1" ht="12.75">
      <c r="A9" s="277" t="s">
        <v>154</v>
      </c>
      <c r="B9" s="278"/>
      <c r="C9" s="282"/>
      <c r="D9" s="282"/>
      <c r="E9" s="282"/>
      <c r="F9" s="282"/>
      <c r="G9" s="282"/>
      <c r="H9" s="282"/>
      <c r="I9" s="282"/>
      <c r="J9" s="282"/>
      <c r="K9" s="278" t="s">
        <v>255</v>
      </c>
      <c r="L9" s="261"/>
      <c r="M9" s="262"/>
    </row>
    <row r="10" spans="1:13" s="253" customFormat="1" ht="12.75">
      <c r="A10" s="283"/>
      <c r="B10" s="284"/>
      <c r="C10" s="279"/>
      <c r="D10" s="279"/>
      <c r="E10" s="279"/>
      <c r="F10" s="279"/>
      <c r="G10" s="279"/>
      <c r="H10" s="279"/>
      <c r="I10" s="279"/>
      <c r="J10" s="279"/>
      <c r="K10" s="284"/>
      <c r="L10" s="238"/>
      <c r="M10" s="256"/>
    </row>
    <row r="11" spans="1:13" s="253" customFormat="1" ht="12.75" customHeight="1">
      <c r="A11" s="285">
        <v>1</v>
      </c>
      <c r="B11" s="286">
        <f>окупаемость!B7</f>
        <v>20000</v>
      </c>
      <c r="C11" s="287">
        <f aca="true" t="shared" si="0" ref="C11:C22">$B$11*$D$34/12*A11</f>
        <v>100</v>
      </c>
      <c r="D11" s="288"/>
      <c r="E11" s="289"/>
      <c r="F11" s="289"/>
      <c r="G11" s="289"/>
      <c r="H11" s="288"/>
      <c r="I11" s="288"/>
      <c r="J11" s="288"/>
      <c r="K11" s="288">
        <f aca="true" t="shared" si="1" ref="K11:K22">SUM(C11:J11)</f>
        <v>100</v>
      </c>
      <c r="L11" s="238"/>
      <c r="M11" s="256"/>
    </row>
    <row r="12" spans="1:13" s="253" customFormat="1" ht="12.75">
      <c r="A12" s="290">
        <v>2</v>
      </c>
      <c r="B12" s="286">
        <f>окупаемость!C7+окупаемость!C11</f>
        <v>13751.81452</v>
      </c>
      <c r="C12" s="291">
        <f t="shared" si="0"/>
        <v>200</v>
      </c>
      <c r="D12" s="292">
        <f aca="true" t="shared" si="2" ref="D12:D22">$B$12*$D$34/12*A11</f>
        <v>68.7590726</v>
      </c>
      <c r="E12" s="278"/>
      <c r="F12" s="278"/>
      <c r="G12" s="278"/>
      <c r="H12" s="292"/>
      <c r="I12" s="292"/>
      <c r="J12" s="292"/>
      <c r="K12" s="292">
        <f t="shared" si="1"/>
        <v>268.75907259999997</v>
      </c>
      <c r="L12" s="238"/>
      <c r="M12" s="256"/>
    </row>
    <row r="13" spans="1:13" s="253" customFormat="1" ht="12.75">
      <c r="A13" s="290">
        <v>3</v>
      </c>
      <c r="B13" s="286">
        <f>окупаемость!D11</f>
        <v>42.81452</v>
      </c>
      <c r="C13" s="291">
        <f t="shared" si="0"/>
        <v>300</v>
      </c>
      <c r="D13" s="292">
        <f t="shared" si="2"/>
        <v>137.5181452</v>
      </c>
      <c r="E13" s="278">
        <f aca="true" t="shared" si="3" ref="E13:E22">$B$13*$D$34/12*A11</f>
        <v>0.21407259999999997</v>
      </c>
      <c r="F13" s="278"/>
      <c r="G13" s="278"/>
      <c r="H13" s="292"/>
      <c r="I13" s="292"/>
      <c r="J13" s="292"/>
      <c r="K13" s="292">
        <f t="shared" si="1"/>
        <v>437.7322178</v>
      </c>
      <c r="L13" s="238"/>
      <c r="M13" s="256"/>
    </row>
    <row r="14" spans="1:13" s="253" customFormat="1" ht="12.75">
      <c r="A14" s="290">
        <v>4</v>
      </c>
      <c r="B14" s="286">
        <f>окупаемость!E7+окупаемость!E11</f>
        <v>1773.94186</v>
      </c>
      <c r="C14" s="291">
        <f t="shared" si="0"/>
        <v>400</v>
      </c>
      <c r="D14" s="292">
        <f t="shared" si="2"/>
        <v>206.2772178</v>
      </c>
      <c r="E14" s="278">
        <f t="shared" si="3"/>
        <v>0.42814519999999995</v>
      </c>
      <c r="F14" s="278">
        <f aca="true" t="shared" si="4" ref="F14:F22">$B$14*$D$34/12*A11</f>
        <v>8.869709299999998</v>
      </c>
      <c r="G14" s="278"/>
      <c r="H14" s="292"/>
      <c r="I14" s="292"/>
      <c r="J14" s="292"/>
      <c r="K14" s="292">
        <f t="shared" si="1"/>
        <v>615.5750723</v>
      </c>
      <c r="L14" s="238"/>
      <c r="M14" s="256"/>
    </row>
    <row r="15" spans="1:13" s="253" customFormat="1" ht="12.75">
      <c r="A15" s="290">
        <v>5</v>
      </c>
      <c r="B15" s="286">
        <f>окупаемость!F11</f>
        <v>65.94186</v>
      </c>
      <c r="C15" s="291">
        <f t="shared" si="0"/>
        <v>500</v>
      </c>
      <c r="D15" s="292">
        <f t="shared" si="2"/>
        <v>275.0362904</v>
      </c>
      <c r="E15" s="278">
        <f t="shared" si="3"/>
        <v>0.6422178</v>
      </c>
      <c r="F15" s="278">
        <f t="shared" si="4"/>
        <v>17.739418599999997</v>
      </c>
      <c r="G15" s="278">
        <f aca="true" t="shared" si="5" ref="G15:G22">$B$15*$D$34/12*A11</f>
        <v>0.32970930000000004</v>
      </c>
      <c r="H15" s="292"/>
      <c r="I15" s="292"/>
      <c r="J15" s="292"/>
      <c r="K15" s="292">
        <f t="shared" si="1"/>
        <v>793.7476361</v>
      </c>
      <c r="L15" s="238"/>
      <c r="M15" s="256"/>
    </row>
    <row r="16" spans="1:13" s="253" customFormat="1" ht="12.75">
      <c r="A16" s="290">
        <v>6</v>
      </c>
      <c r="B16" s="286">
        <f>окупаемость!G7+окупаемость!G11</f>
        <v>1794.0692</v>
      </c>
      <c r="C16" s="291">
        <f t="shared" si="0"/>
        <v>600</v>
      </c>
      <c r="D16" s="292">
        <f t="shared" si="2"/>
        <v>343.79536299999995</v>
      </c>
      <c r="E16" s="278">
        <f t="shared" si="3"/>
        <v>0.8562903999999999</v>
      </c>
      <c r="F16" s="278">
        <f t="shared" si="4"/>
        <v>26.609127899999997</v>
      </c>
      <c r="G16" s="278">
        <f t="shared" si="5"/>
        <v>0.6594186000000001</v>
      </c>
      <c r="H16" s="292">
        <f aca="true" t="shared" si="6" ref="H16:H22">$B$16*$D$34/12*A11</f>
        <v>8.970346</v>
      </c>
      <c r="I16" s="292"/>
      <c r="J16" s="292"/>
      <c r="K16" s="292">
        <f t="shared" si="1"/>
        <v>980.8905458999999</v>
      </c>
      <c r="L16" s="238"/>
      <c r="M16" s="256"/>
    </row>
    <row r="17" spans="1:13" s="253" customFormat="1" ht="12.75">
      <c r="A17" s="290">
        <v>7</v>
      </c>
      <c r="B17" s="286">
        <f>окупаемость!H11</f>
        <v>81.46038</v>
      </c>
      <c r="C17" s="291">
        <f t="shared" si="0"/>
        <v>700</v>
      </c>
      <c r="D17" s="292">
        <f t="shared" si="2"/>
        <v>412.5544356</v>
      </c>
      <c r="E17" s="278">
        <f t="shared" si="3"/>
        <v>1.070363</v>
      </c>
      <c r="F17" s="278">
        <f t="shared" si="4"/>
        <v>35.478837199999994</v>
      </c>
      <c r="G17" s="278">
        <f t="shared" si="5"/>
        <v>0.9891279000000002</v>
      </c>
      <c r="H17" s="292">
        <f t="shared" si="6"/>
        <v>17.940692</v>
      </c>
      <c r="I17" s="292">
        <f aca="true" t="shared" si="7" ref="I17:I22">$B$17*$D$34/12*A11</f>
        <v>0.4073019</v>
      </c>
      <c r="J17" s="292"/>
      <c r="K17" s="292">
        <f t="shared" si="1"/>
        <v>1168.4407576</v>
      </c>
      <c r="L17" s="238"/>
      <c r="M17" s="256"/>
    </row>
    <row r="18" spans="1:13" s="253" customFormat="1" ht="12.75">
      <c r="A18" s="290">
        <v>8</v>
      </c>
      <c r="B18" s="286">
        <f>окупаемость!I11</f>
        <v>74.0532</v>
      </c>
      <c r="C18" s="291">
        <f t="shared" si="0"/>
        <v>800</v>
      </c>
      <c r="D18" s="292">
        <f t="shared" si="2"/>
        <v>481.3135082</v>
      </c>
      <c r="E18" s="278">
        <f t="shared" si="3"/>
        <v>1.2844356</v>
      </c>
      <c r="F18" s="278">
        <f t="shared" si="4"/>
        <v>44.34854649999999</v>
      </c>
      <c r="G18" s="278">
        <f t="shared" si="5"/>
        <v>1.3188372000000002</v>
      </c>
      <c r="H18" s="292">
        <f t="shared" si="6"/>
        <v>26.911037999999998</v>
      </c>
      <c r="I18" s="292">
        <f t="shared" si="7"/>
        <v>0.8146038</v>
      </c>
      <c r="J18" s="292">
        <f>$B$18*$D$34/12*A11</f>
        <v>0.370266</v>
      </c>
      <c r="K18" s="292">
        <f t="shared" si="1"/>
        <v>1356.3612352999996</v>
      </c>
      <c r="L18" s="238"/>
      <c r="M18" s="256"/>
    </row>
    <row r="19" spans="1:13" s="253" customFormat="1" ht="12.75">
      <c r="A19" s="290">
        <v>9</v>
      </c>
      <c r="B19" s="286"/>
      <c r="C19" s="291">
        <f t="shared" si="0"/>
        <v>900</v>
      </c>
      <c r="D19" s="292">
        <f t="shared" si="2"/>
        <v>550.0725808</v>
      </c>
      <c r="E19" s="278">
        <f t="shared" si="3"/>
        <v>1.4985081999999998</v>
      </c>
      <c r="F19" s="278">
        <f t="shared" si="4"/>
        <v>53.218255799999994</v>
      </c>
      <c r="G19" s="278">
        <f t="shared" si="5"/>
        <v>1.6485465000000001</v>
      </c>
      <c r="H19" s="292">
        <f t="shared" si="6"/>
        <v>35.881384</v>
      </c>
      <c r="I19" s="292">
        <f t="shared" si="7"/>
        <v>1.2219057</v>
      </c>
      <c r="J19" s="292">
        <f>$B$18*$D$34/12*A12</f>
        <v>0.740532</v>
      </c>
      <c r="K19" s="292">
        <f t="shared" si="1"/>
        <v>1544.281713</v>
      </c>
      <c r="L19" s="238"/>
      <c r="M19" s="256"/>
    </row>
    <row r="20" spans="1:13" s="253" customFormat="1" ht="12.75">
      <c r="A20" s="290">
        <v>10</v>
      </c>
      <c r="B20" s="286"/>
      <c r="C20" s="291">
        <f t="shared" si="0"/>
        <v>1000</v>
      </c>
      <c r="D20" s="292">
        <f t="shared" si="2"/>
        <v>618.8316533999999</v>
      </c>
      <c r="E20" s="278">
        <f t="shared" si="3"/>
        <v>1.7125807999999998</v>
      </c>
      <c r="F20" s="278">
        <f t="shared" si="4"/>
        <v>62.08796509999999</v>
      </c>
      <c r="G20" s="278">
        <f t="shared" si="5"/>
        <v>1.9782558000000003</v>
      </c>
      <c r="H20" s="292">
        <f t="shared" si="6"/>
        <v>44.851729999999996</v>
      </c>
      <c r="I20" s="292">
        <f t="shared" si="7"/>
        <v>1.6292076</v>
      </c>
      <c r="J20" s="292">
        <f>$B$18*$D$34/12*A13</f>
        <v>1.110798</v>
      </c>
      <c r="K20" s="292">
        <f t="shared" si="1"/>
        <v>1732.2021907</v>
      </c>
      <c r="L20" s="238"/>
      <c r="M20" s="256"/>
    </row>
    <row r="21" spans="1:13" s="253" customFormat="1" ht="12.75">
      <c r="A21" s="290">
        <v>11</v>
      </c>
      <c r="B21" s="293"/>
      <c r="C21" s="291">
        <f t="shared" si="0"/>
        <v>1100</v>
      </c>
      <c r="D21" s="292">
        <f t="shared" si="2"/>
        <v>687.5907259999999</v>
      </c>
      <c r="E21" s="278">
        <f t="shared" si="3"/>
        <v>1.9266533999999997</v>
      </c>
      <c r="F21" s="278">
        <f t="shared" si="4"/>
        <v>70.95767439999999</v>
      </c>
      <c r="G21" s="278">
        <f t="shared" si="5"/>
        <v>2.3079651</v>
      </c>
      <c r="H21" s="292">
        <f t="shared" si="6"/>
        <v>53.822075999999996</v>
      </c>
      <c r="I21" s="292">
        <f t="shared" si="7"/>
        <v>2.0365095</v>
      </c>
      <c r="J21" s="292">
        <f>$B$18*$D$34/12*A14</f>
        <v>1.481064</v>
      </c>
      <c r="K21" s="292">
        <f t="shared" si="1"/>
        <v>1920.1226684</v>
      </c>
      <c r="L21" s="238"/>
      <c r="M21" s="256"/>
    </row>
    <row r="22" spans="1:13" s="253" customFormat="1" ht="13.5" thickBot="1">
      <c r="A22" s="294">
        <v>12</v>
      </c>
      <c r="B22" s="295"/>
      <c r="C22" s="296">
        <f t="shared" si="0"/>
        <v>1200</v>
      </c>
      <c r="D22" s="284">
        <f t="shared" si="2"/>
        <v>756.3497986</v>
      </c>
      <c r="E22" s="297">
        <f t="shared" si="3"/>
        <v>2.140726</v>
      </c>
      <c r="F22" s="297">
        <f t="shared" si="4"/>
        <v>79.82738369999998</v>
      </c>
      <c r="G22" s="297">
        <f t="shared" si="5"/>
        <v>2.6376744000000003</v>
      </c>
      <c r="H22" s="284">
        <f t="shared" si="6"/>
        <v>62.792421999999995</v>
      </c>
      <c r="I22" s="284">
        <f t="shared" si="7"/>
        <v>2.4438114</v>
      </c>
      <c r="J22" s="284">
        <f>$B$18*$D$34/12*A15</f>
        <v>1.85133</v>
      </c>
      <c r="K22" s="284">
        <f t="shared" si="1"/>
        <v>2108.0431461</v>
      </c>
      <c r="L22" s="238"/>
      <c r="M22" s="256"/>
    </row>
    <row r="23" spans="1:16" s="253" customFormat="1" ht="12.75">
      <c r="A23" s="298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38"/>
      <c r="M23" s="238"/>
      <c r="N23" s="238"/>
      <c r="O23" s="238"/>
      <c r="P23" s="256"/>
    </row>
    <row r="24" spans="1:16" s="253" customFormat="1" ht="12.75">
      <c r="A24" s="298" t="s">
        <v>256</v>
      </c>
      <c r="B24" s="279">
        <f>SUM(B11:B22)</f>
        <v>37584.095539999995</v>
      </c>
      <c r="C24" s="299" t="s">
        <v>257</v>
      </c>
      <c r="D24" s="279"/>
      <c r="E24" s="279"/>
      <c r="F24" s="279"/>
      <c r="G24" s="279"/>
      <c r="H24" s="279"/>
      <c r="I24" s="279"/>
      <c r="J24" s="279"/>
      <c r="K24" s="279"/>
      <c r="L24" s="238"/>
      <c r="M24" s="238"/>
      <c r="N24" s="238"/>
      <c r="O24" s="238"/>
      <c r="P24" s="256"/>
    </row>
    <row r="25" spans="1:16" s="253" customFormat="1" ht="12.75">
      <c r="A25" s="298" t="s">
        <v>256</v>
      </c>
      <c r="B25" s="279">
        <f>K22</f>
        <v>2108.0431461</v>
      </c>
      <c r="C25" s="279" t="s">
        <v>258</v>
      </c>
      <c r="D25" s="279"/>
      <c r="E25" s="279"/>
      <c r="F25" s="279"/>
      <c r="G25" s="279"/>
      <c r="H25" s="279"/>
      <c r="I25" s="279"/>
      <c r="J25" s="279"/>
      <c r="K25" s="279"/>
      <c r="L25" s="238"/>
      <c r="M25" s="238"/>
      <c r="N25" s="238"/>
      <c r="O25" s="238"/>
      <c r="P25" s="256"/>
    </row>
    <row r="26" spans="1:11" ht="12.75">
      <c r="A26" s="274"/>
      <c r="B26" s="275"/>
      <c r="C26" s="275"/>
      <c r="D26" s="275"/>
      <c r="E26" s="275"/>
      <c r="F26" s="275"/>
      <c r="G26" s="275"/>
      <c r="H26" s="275"/>
      <c r="I26" s="275"/>
      <c r="J26" s="275"/>
      <c r="K26" s="275"/>
    </row>
    <row r="27" spans="1:11" ht="12.75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</row>
    <row r="28" spans="1:11" ht="12.75">
      <c r="A28" s="274"/>
      <c r="B28" s="275"/>
      <c r="C28" s="275"/>
      <c r="D28" s="275"/>
      <c r="E28" s="275"/>
      <c r="F28" s="275"/>
      <c r="G28" s="275"/>
      <c r="H28" s="275"/>
      <c r="I28" s="275"/>
      <c r="J28" s="275"/>
      <c r="K28" s="275"/>
    </row>
    <row r="29" spans="1:11" ht="12.75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</row>
    <row r="30" spans="1:11" ht="12.75">
      <c r="A30" s="392" t="s">
        <v>293</v>
      </c>
      <c r="B30" s="392"/>
      <c r="G30" s="275"/>
      <c r="H30" s="275"/>
      <c r="I30" s="275"/>
      <c r="J30" s="275"/>
      <c r="K30" s="275"/>
    </row>
    <row r="31" spans="1:11" ht="12.75">
      <c r="A31" s="422" t="s">
        <v>271</v>
      </c>
      <c r="B31" s="422"/>
      <c r="C31" s="422"/>
      <c r="D31" s="422"/>
      <c r="E31" s="422"/>
      <c r="F31" s="422"/>
      <c r="G31" s="315"/>
      <c r="H31" s="275"/>
      <c r="I31" s="275"/>
      <c r="J31" s="275"/>
      <c r="K31" s="275"/>
    </row>
    <row r="32" spans="1:11" ht="12.75">
      <c r="A32" s="233"/>
      <c r="B32" s="233"/>
      <c r="C32" s="233"/>
      <c r="D32" s="233"/>
      <c r="E32" s="233"/>
      <c r="F32" s="233"/>
      <c r="G32" s="275"/>
      <c r="H32" s="275"/>
      <c r="I32" s="275"/>
      <c r="J32" s="275"/>
      <c r="K32" s="275"/>
    </row>
    <row r="33" spans="1:11" ht="12.75">
      <c r="A33" s="254" t="s">
        <v>272</v>
      </c>
      <c r="B33" s="254"/>
      <c r="C33" s="254"/>
      <c r="D33" s="316">
        <v>72</v>
      </c>
      <c r="E33" s="254" t="s">
        <v>161</v>
      </c>
      <c r="F33" s="254"/>
      <c r="G33" s="275"/>
      <c r="H33" s="275"/>
      <c r="I33" s="275"/>
      <c r="J33" s="275"/>
      <c r="K33" s="275"/>
    </row>
    <row r="34" spans="1:11" ht="12.75">
      <c r="A34" s="254" t="s">
        <v>162</v>
      </c>
      <c r="B34" s="254"/>
      <c r="C34" s="254"/>
      <c r="D34" s="316">
        <v>0.06</v>
      </c>
      <c r="E34" s="254" t="s">
        <v>0</v>
      </c>
      <c r="F34" s="254"/>
      <c r="G34" s="275"/>
      <c r="H34" s="275"/>
      <c r="I34" s="275"/>
      <c r="J34" s="275"/>
      <c r="K34" s="275"/>
    </row>
    <row r="35" spans="1:11" ht="12.75">
      <c r="A35" s="317"/>
      <c r="B35" s="254"/>
      <c r="C35" s="254"/>
      <c r="D35" s="254"/>
      <c r="E35" s="254"/>
      <c r="F35" s="254"/>
      <c r="G35" s="275"/>
      <c r="H35" s="275"/>
      <c r="I35" s="275"/>
      <c r="J35" s="275"/>
      <c r="K35" s="275"/>
    </row>
    <row r="36" spans="1:11" ht="12.75">
      <c r="A36" s="421" t="s">
        <v>281</v>
      </c>
      <c r="B36" s="421"/>
      <c r="C36" s="421"/>
      <c r="D36" s="421"/>
      <c r="E36" s="421"/>
      <c r="F36" s="421"/>
      <c r="G36" s="305"/>
      <c r="H36" s="275"/>
      <c r="I36" s="275"/>
      <c r="J36" s="275"/>
      <c r="K36" s="275"/>
    </row>
    <row r="37" spans="1:11" ht="12.75">
      <c r="A37" s="421" t="s">
        <v>294</v>
      </c>
      <c r="B37" s="421"/>
      <c r="C37" s="421"/>
      <c r="D37" s="421"/>
      <c r="E37" s="421"/>
      <c r="F37" s="421"/>
      <c r="G37" s="305"/>
      <c r="H37" s="275"/>
      <c r="I37" s="275"/>
      <c r="J37" s="275"/>
      <c r="K37" s="275"/>
    </row>
    <row r="38" spans="1:11" ht="12.75">
      <c r="A38" s="421" t="s">
        <v>295</v>
      </c>
      <c r="B38" s="421"/>
      <c r="C38" s="421"/>
      <c r="D38" s="421"/>
      <c r="E38" s="421"/>
      <c r="F38" s="421"/>
      <c r="G38" s="305"/>
      <c r="H38" s="275"/>
      <c r="I38" s="275"/>
      <c r="J38" s="275"/>
      <c r="K38" s="275"/>
    </row>
    <row r="39" spans="1:11" ht="12.75">
      <c r="A39" s="238"/>
      <c r="B39" s="238"/>
      <c r="C39" s="238"/>
      <c r="D39" s="240"/>
      <c r="E39" s="238"/>
      <c r="F39" s="238"/>
      <c r="G39" s="275"/>
      <c r="H39" s="275"/>
      <c r="I39" s="275"/>
      <c r="J39" s="275"/>
      <c r="K39" s="275"/>
    </row>
    <row r="40" spans="1:11" ht="12.75">
      <c r="A40" s="241" t="s">
        <v>154</v>
      </c>
      <c r="B40" s="242" t="s">
        <v>267</v>
      </c>
      <c r="C40" s="242" t="s">
        <v>268</v>
      </c>
      <c r="D40" s="242" t="s">
        <v>261</v>
      </c>
      <c r="E40" s="242" t="s">
        <v>259</v>
      </c>
      <c r="F40" s="242" t="s">
        <v>259</v>
      </c>
      <c r="G40" s="307"/>
      <c r="H40" s="275"/>
      <c r="I40" s="275"/>
      <c r="J40" s="275"/>
      <c r="K40" s="275"/>
    </row>
    <row r="41" spans="1:11" ht="12.75">
      <c r="A41" s="243"/>
      <c r="B41" s="244" t="s">
        <v>264</v>
      </c>
      <c r="C41" s="245" t="s">
        <v>269</v>
      </c>
      <c r="D41" s="244" t="s">
        <v>262</v>
      </c>
      <c r="E41" s="244" t="s">
        <v>265</v>
      </c>
      <c r="F41" s="245" t="s">
        <v>260</v>
      </c>
      <c r="G41" s="307"/>
      <c r="H41" s="275"/>
      <c r="I41" s="275"/>
      <c r="J41" s="275"/>
      <c r="K41" s="275"/>
    </row>
    <row r="42" spans="1:11" ht="12.75">
      <c r="A42" s="243"/>
      <c r="B42" s="244"/>
      <c r="C42" s="244" t="s">
        <v>266</v>
      </c>
      <c r="D42" s="244" t="s">
        <v>263</v>
      </c>
      <c r="E42" s="244" t="s">
        <v>266</v>
      </c>
      <c r="F42" s="243"/>
      <c r="G42" s="307"/>
      <c r="H42" s="275"/>
      <c r="I42" s="275"/>
      <c r="J42" s="275"/>
      <c r="K42" s="275"/>
    </row>
    <row r="43" spans="1:11" ht="12.75">
      <c r="A43" s="246"/>
      <c r="B43" s="243"/>
      <c r="C43" s="245" t="s">
        <v>270</v>
      </c>
      <c r="D43" s="245" t="s">
        <v>264</v>
      </c>
      <c r="E43" s="244"/>
      <c r="F43" s="247"/>
      <c r="G43" s="307"/>
      <c r="H43" s="275"/>
      <c r="I43" s="275"/>
      <c r="J43" s="275"/>
      <c r="K43" s="275"/>
    </row>
    <row r="44" spans="1:15" s="131" customFormat="1" ht="12.75">
      <c r="A44" s="248"/>
      <c r="B44" s="249"/>
      <c r="C44" s="250"/>
      <c r="D44" s="250"/>
      <c r="E44" s="250"/>
      <c r="F44" s="250"/>
      <c r="G44" s="276"/>
      <c r="H44" s="276"/>
      <c r="I44" s="276"/>
      <c r="J44" s="276"/>
      <c r="K44" s="276"/>
      <c r="L44" s="129"/>
      <c r="M44" s="129"/>
      <c r="N44" s="129"/>
      <c r="O44" s="130"/>
    </row>
    <row r="45" spans="1:16" ht="12.75">
      <c r="A45" s="251">
        <v>1</v>
      </c>
      <c r="B45" s="252">
        <f>B24</f>
        <v>37584.095539999995</v>
      </c>
      <c r="C45" s="252">
        <f aca="true" t="shared" si="8" ref="C45:C76">B45*$D$34/12</f>
        <v>187.92047769999996</v>
      </c>
      <c r="D45" s="252">
        <f aca="true" t="shared" si="9" ref="D45:D76">$B$45/$D$33</f>
        <v>522.0013269444444</v>
      </c>
      <c r="E45" s="252">
        <f aca="true" t="shared" si="10" ref="E45:E76">C45+$B$25/$D$33</f>
        <v>217.1988547291666</v>
      </c>
      <c r="F45" s="252">
        <f>D45+E45</f>
        <v>739.200181673611</v>
      </c>
      <c r="G45" s="275"/>
      <c r="H45" s="275"/>
      <c r="I45" s="275"/>
      <c r="J45" s="275"/>
      <c r="K45" s="275"/>
      <c r="O45" s="126"/>
      <c r="P45" s="125"/>
    </row>
    <row r="46" spans="1:16" ht="12.75">
      <c r="A46" s="251">
        <f>A45+1</f>
        <v>2</v>
      </c>
      <c r="B46" s="252">
        <f aca="true" t="shared" si="11" ref="B46:B109">B45-D45</f>
        <v>37062.09421305555</v>
      </c>
      <c r="C46" s="252">
        <f t="shared" si="8"/>
        <v>185.31047106527774</v>
      </c>
      <c r="D46" s="252">
        <f t="shared" si="9"/>
        <v>522.0013269444444</v>
      </c>
      <c r="E46" s="252">
        <f t="shared" si="10"/>
        <v>214.58884809444442</v>
      </c>
      <c r="F46" s="252">
        <f>D46+E46</f>
        <v>736.5901750388888</v>
      </c>
      <c r="G46" s="275"/>
      <c r="H46" s="275"/>
      <c r="I46" s="275"/>
      <c r="J46" s="275"/>
      <c r="K46" s="275"/>
      <c r="O46" s="126"/>
      <c r="P46" s="125"/>
    </row>
    <row r="47" spans="1:16" ht="12.75">
      <c r="A47" s="251">
        <f aca="true" t="shared" si="12" ref="A47:A110">A46+1</f>
        <v>3</v>
      </c>
      <c r="B47" s="252">
        <f t="shared" si="11"/>
        <v>36540.0928861111</v>
      </c>
      <c r="C47" s="252">
        <f t="shared" si="8"/>
        <v>182.7004644305555</v>
      </c>
      <c r="D47" s="252">
        <f t="shared" si="9"/>
        <v>522.0013269444444</v>
      </c>
      <c r="E47" s="252">
        <f t="shared" si="10"/>
        <v>211.97884145972216</v>
      </c>
      <c r="F47" s="252">
        <f aca="true" t="shared" si="13" ref="F47:F110">D47+E47</f>
        <v>733.9801684041665</v>
      </c>
      <c r="G47" s="275"/>
      <c r="H47" s="275"/>
      <c r="I47" s="275"/>
      <c r="J47" s="275"/>
      <c r="K47" s="275"/>
      <c r="O47" s="126"/>
      <c r="P47" s="125"/>
    </row>
    <row r="48" spans="1:16" ht="12.75">
      <c r="A48" s="251">
        <f t="shared" si="12"/>
        <v>4</v>
      </c>
      <c r="B48" s="252">
        <f t="shared" si="11"/>
        <v>36018.091559166656</v>
      </c>
      <c r="C48" s="252">
        <f t="shared" si="8"/>
        <v>180.09045779583326</v>
      </c>
      <c r="D48" s="252">
        <f t="shared" si="9"/>
        <v>522.0013269444444</v>
      </c>
      <c r="E48" s="252">
        <f t="shared" si="10"/>
        <v>209.3688348249999</v>
      </c>
      <c r="F48" s="252">
        <f t="shared" si="13"/>
        <v>731.3701617694443</v>
      </c>
      <c r="G48" s="275"/>
      <c r="H48" s="275"/>
      <c r="I48" s="275"/>
      <c r="J48" s="275"/>
      <c r="K48" s="275"/>
      <c r="O48" s="126"/>
      <c r="P48" s="125"/>
    </row>
    <row r="49" spans="1:16" ht="12.75">
      <c r="A49" s="251">
        <f t="shared" si="12"/>
        <v>5</v>
      </c>
      <c r="B49" s="252">
        <f t="shared" si="11"/>
        <v>35496.09023222221</v>
      </c>
      <c r="C49" s="252">
        <f t="shared" si="8"/>
        <v>177.48045116111106</v>
      </c>
      <c r="D49" s="252">
        <f t="shared" si="9"/>
        <v>522.0013269444444</v>
      </c>
      <c r="E49" s="252">
        <f t="shared" si="10"/>
        <v>206.7588281902777</v>
      </c>
      <c r="F49" s="252">
        <f t="shared" si="13"/>
        <v>728.760155134722</v>
      </c>
      <c r="G49" s="275"/>
      <c r="H49" s="275"/>
      <c r="I49" s="275"/>
      <c r="J49" s="275"/>
      <c r="K49" s="275"/>
      <c r="O49" s="126"/>
      <c r="P49" s="125"/>
    </row>
    <row r="50" spans="1:16" ht="12.75">
      <c r="A50" s="251">
        <f t="shared" si="12"/>
        <v>6</v>
      </c>
      <c r="B50" s="252">
        <f t="shared" si="11"/>
        <v>34974.088905277764</v>
      </c>
      <c r="C50" s="252">
        <f t="shared" si="8"/>
        <v>174.8704445263888</v>
      </c>
      <c r="D50" s="252">
        <f t="shared" si="9"/>
        <v>522.0013269444444</v>
      </c>
      <c r="E50" s="252">
        <f t="shared" si="10"/>
        <v>204.14882155555546</v>
      </c>
      <c r="F50" s="252">
        <f t="shared" si="13"/>
        <v>726.1501484999999</v>
      </c>
      <c r="G50" s="275"/>
      <c r="H50" s="275"/>
      <c r="I50" s="275"/>
      <c r="J50" s="275"/>
      <c r="K50" s="275"/>
      <c r="O50" s="126"/>
      <c r="P50" s="125"/>
    </row>
    <row r="51" spans="1:16" ht="12.75">
      <c r="A51" s="251">
        <f t="shared" si="12"/>
        <v>7</v>
      </c>
      <c r="B51" s="252">
        <f t="shared" si="11"/>
        <v>34452.08757833332</v>
      </c>
      <c r="C51" s="252">
        <f t="shared" si="8"/>
        <v>172.26043789166658</v>
      </c>
      <c r="D51" s="252">
        <f t="shared" si="9"/>
        <v>522.0013269444444</v>
      </c>
      <c r="E51" s="252">
        <f t="shared" si="10"/>
        <v>201.53881492083326</v>
      </c>
      <c r="F51" s="252">
        <f t="shared" si="13"/>
        <v>723.5401418652776</v>
      </c>
      <c r="G51" s="275"/>
      <c r="H51" s="275"/>
      <c r="I51" s="275"/>
      <c r="J51" s="275"/>
      <c r="K51" s="275"/>
      <c r="O51" s="126"/>
      <c r="P51" s="125"/>
    </row>
    <row r="52" spans="1:16" ht="12.75">
      <c r="A52" s="251">
        <f t="shared" si="12"/>
        <v>8</v>
      </c>
      <c r="B52" s="252">
        <f t="shared" si="11"/>
        <v>33930.08625138887</v>
      </c>
      <c r="C52" s="252">
        <f t="shared" si="8"/>
        <v>169.65043125694436</v>
      </c>
      <c r="D52" s="252">
        <f t="shared" si="9"/>
        <v>522.0013269444444</v>
      </c>
      <c r="E52" s="252">
        <f t="shared" si="10"/>
        <v>198.928808286111</v>
      </c>
      <c r="F52" s="252">
        <f t="shared" si="13"/>
        <v>720.9301352305554</v>
      </c>
      <c r="G52" s="275"/>
      <c r="H52" s="275"/>
      <c r="I52" s="275"/>
      <c r="J52" s="275"/>
      <c r="K52" s="275"/>
      <c r="O52" s="126"/>
      <c r="P52" s="125"/>
    </row>
    <row r="53" spans="1:16" ht="12.75">
      <c r="A53" s="251">
        <f t="shared" si="12"/>
        <v>9</v>
      </c>
      <c r="B53" s="252">
        <f t="shared" si="11"/>
        <v>33408.084924444425</v>
      </c>
      <c r="C53" s="252">
        <f t="shared" si="8"/>
        <v>167.0404246222221</v>
      </c>
      <c r="D53" s="252">
        <f t="shared" si="9"/>
        <v>522.0013269444444</v>
      </c>
      <c r="E53" s="252">
        <f t="shared" si="10"/>
        <v>196.31880165138875</v>
      </c>
      <c r="F53" s="252">
        <f t="shared" si="13"/>
        <v>718.3201285958331</v>
      </c>
      <c r="G53" s="275"/>
      <c r="H53" s="275"/>
      <c r="I53" s="275"/>
      <c r="J53" s="275"/>
      <c r="K53" s="275"/>
      <c r="O53" s="126"/>
      <c r="P53" s="125"/>
    </row>
    <row r="54" spans="1:16" ht="12.75">
      <c r="A54" s="251">
        <f t="shared" si="12"/>
        <v>10</v>
      </c>
      <c r="B54" s="252">
        <f t="shared" si="11"/>
        <v>32886.08359749998</v>
      </c>
      <c r="C54" s="252">
        <f t="shared" si="8"/>
        <v>164.4304179874999</v>
      </c>
      <c r="D54" s="252">
        <f t="shared" si="9"/>
        <v>522.0013269444444</v>
      </c>
      <c r="E54" s="252">
        <f t="shared" si="10"/>
        <v>193.70879501666656</v>
      </c>
      <c r="F54" s="252">
        <f t="shared" si="13"/>
        <v>715.7101219611109</v>
      </c>
      <c r="G54" s="275"/>
      <c r="H54" s="275"/>
      <c r="I54" s="275"/>
      <c r="J54" s="275"/>
      <c r="K54" s="275"/>
      <c r="O54" s="126"/>
      <c r="P54" s="125"/>
    </row>
    <row r="55" spans="1:16" ht="12.75">
      <c r="A55" s="251">
        <f t="shared" si="12"/>
        <v>11</v>
      </c>
      <c r="B55" s="252">
        <f t="shared" si="11"/>
        <v>32364.082270555533</v>
      </c>
      <c r="C55" s="252">
        <f t="shared" si="8"/>
        <v>161.82041135277765</v>
      </c>
      <c r="D55" s="252">
        <f t="shared" si="9"/>
        <v>522.0013269444444</v>
      </c>
      <c r="E55" s="252">
        <f t="shared" si="10"/>
        <v>191.0987883819443</v>
      </c>
      <c r="F55" s="252">
        <f t="shared" si="13"/>
        <v>713.1001153263887</v>
      </c>
      <c r="G55" s="275"/>
      <c r="H55" s="275"/>
      <c r="I55" s="275"/>
      <c r="J55" s="275"/>
      <c r="K55" s="275"/>
      <c r="O55" s="126"/>
      <c r="P55" s="125"/>
    </row>
    <row r="56" spans="1:16" ht="12.75">
      <c r="A56" s="251">
        <f t="shared" si="12"/>
        <v>12</v>
      </c>
      <c r="B56" s="252">
        <f t="shared" si="11"/>
        <v>31842.080943611087</v>
      </c>
      <c r="C56" s="252">
        <f t="shared" si="8"/>
        <v>159.21040471805543</v>
      </c>
      <c r="D56" s="252">
        <f t="shared" si="9"/>
        <v>522.0013269444444</v>
      </c>
      <c r="E56" s="252">
        <f t="shared" si="10"/>
        <v>188.4887817472221</v>
      </c>
      <c r="F56" s="252">
        <f t="shared" si="13"/>
        <v>710.4901086916665</v>
      </c>
      <c r="G56" s="275"/>
      <c r="H56" s="275"/>
      <c r="I56" s="275"/>
      <c r="J56" s="275"/>
      <c r="K56" s="275"/>
      <c r="O56" s="126"/>
      <c r="P56" s="125"/>
    </row>
    <row r="57" spans="1:16" ht="12.75">
      <c r="A57" s="251">
        <f t="shared" si="12"/>
        <v>13</v>
      </c>
      <c r="B57" s="252">
        <f t="shared" si="11"/>
        <v>31320.07961666664</v>
      </c>
      <c r="C57" s="252">
        <f t="shared" si="8"/>
        <v>156.6003980833332</v>
      </c>
      <c r="D57" s="252">
        <f t="shared" si="9"/>
        <v>522.0013269444444</v>
      </c>
      <c r="E57" s="252">
        <f t="shared" si="10"/>
        <v>185.87877511249985</v>
      </c>
      <c r="F57" s="252">
        <f t="shared" si="13"/>
        <v>707.8801020569442</v>
      </c>
      <c r="G57" s="275"/>
      <c r="H57" s="275"/>
      <c r="I57" s="275"/>
      <c r="J57" s="275"/>
      <c r="K57" s="275"/>
      <c r="O57" s="126"/>
      <c r="P57" s="125"/>
    </row>
    <row r="58" spans="1:16" ht="12.75">
      <c r="A58" s="251">
        <f t="shared" si="12"/>
        <v>14</v>
      </c>
      <c r="B58" s="252">
        <f t="shared" si="11"/>
        <v>30798.078289722194</v>
      </c>
      <c r="C58" s="252">
        <f t="shared" si="8"/>
        <v>153.99039144861095</v>
      </c>
      <c r="D58" s="252">
        <f t="shared" si="9"/>
        <v>522.0013269444444</v>
      </c>
      <c r="E58" s="252">
        <f t="shared" si="10"/>
        <v>183.2687684777776</v>
      </c>
      <c r="F58" s="252">
        <f t="shared" si="13"/>
        <v>705.270095422222</v>
      </c>
      <c r="G58" s="275"/>
      <c r="H58" s="275"/>
      <c r="I58" s="275"/>
      <c r="J58" s="275"/>
      <c r="K58" s="275"/>
      <c r="O58" s="126"/>
      <c r="P58" s="125"/>
    </row>
    <row r="59" spans="1:16" ht="12.75">
      <c r="A59" s="251">
        <f t="shared" si="12"/>
        <v>15</v>
      </c>
      <c r="B59" s="252">
        <f t="shared" si="11"/>
        <v>30276.076962777748</v>
      </c>
      <c r="C59" s="252">
        <f t="shared" si="8"/>
        <v>151.38038481388875</v>
      </c>
      <c r="D59" s="252">
        <f t="shared" si="9"/>
        <v>522.0013269444444</v>
      </c>
      <c r="E59" s="252">
        <f t="shared" si="10"/>
        <v>180.6587618430554</v>
      </c>
      <c r="F59" s="252">
        <f t="shared" si="13"/>
        <v>702.6600887874997</v>
      </c>
      <c r="G59" s="275"/>
      <c r="H59" s="275"/>
      <c r="I59" s="275"/>
      <c r="J59" s="275"/>
      <c r="K59" s="275"/>
      <c r="O59" s="126"/>
      <c r="P59" s="125"/>
    </row>
    <row r="60" spans="1:16" ht="12.75">
      <c r="A60" s="251">
        <f t="shared" si="12"/>
        <v>16</v>
      </c>
      <c r="B60" s="252">
        <f t="shared" si="11"/>
        <v>29754.075635833302</v>
      </c>
      <c r="C60" s="252">
        <f t="shared" si="8"/>
        <v>148.7703781791665</v>
      </c>
      <c r="D60" s="252">
        <f t="shared" si="9"/>
        <v>522.0013269444444</v>
      </c>
      <c r="E60" s="252">
        <f t="shared" si="10"/>
        <v>178.04875520833315</v>
      </c>
      <c r="F60" s="252">
        <f t="shared" si="13"/>
        <v>700.0500821527776</v>
      </c>
      <c r="G60" s="275"/>
      <c r="H60" s="275"/>
      <c r="I60" s="275"/>
      <c r="J60" s="275"/>
      <c r="K60" s="275"/>
      <c r="O60" s="126"/>
      <c r="P60" s="125"/>
    </row>
    <row r="61" spans="1:16" ht="12.75">
      <c r="A61" s="251">
        <f t="shared" si="12"/>
        <v>17</v>
      </c>
      <c r="B61" s="252">
        <f t="shared" si="11"/>
        <v>29232.074308888856</v>
      </c>
      <c r="C61" s="252">
        <f t="shared" si="8"/>
        <v>146.16037154444427</v>
      </c>
      <c r="D61" s="252">
        <f t="shared" si="9"/>
        <v>522.0013269444444</v>
      </c>
      <c r="E61" s="252">
        <f t="shared" si="10"/>
        <v>175.43874857361095</v>
      </c>
      <c r="F61" s="252">
        <f t="shared" si="13"/>
        <v>697.4400755180553</v>
      </c>
      <c r="G61" s="275"/>
      <c r="H61" s="275"/>
      <c r="I61" s="275"/>
      <c r="J61" s="275"/>
      <c r="K61" s="275"/>
      <c r="O61" s="126"/>
      <c r="P61" s="125"/>
    </row>
    <row r="62" spans="1:16" ht="12.75">
      <c r="A62" s="251">
        <f t="shared" si="12"/>
        <v>18</v>
      </c>
      <c r="B62" s="252">
        <f t="shared" si="11"/>
        <v>28710.07298194441</v>
      </c>
      <c r="C62" s="252">
        <f t="shared" si="8"/>
        <v>143.55036490972205</v>
      </c>
      <c r="D62" s="252">
        <f t="shared" si="9"/>
        <v>522.0013269444444</v>
      </c>
      <c r="E62" s="252">
        <f t="shared" si="10"/>
        <v>172.8287419388887</v>
      </c>
      <c r="F62" s="252">
        <f t="shared" si="13"/>
        <v>694.8300688833331</v>
      </c>
      <c r="G62" s="275"/>
      <c r="H62" s="275"/>
      <c r="I62" s="275"/>
      <c r="J62" s="275"/>
      <c r="K62" s="275"/>
      <c r="O62" s="126"/>
      <c r="P62" s="125"/>
    </row>
    <row r="63" spans="1:16" ht="12.75">
      <c r="A63" s="251">
        <f t="shared" si="12"/>
        <v>19</v>
      </c>
      <c r="B63" s="252">
        <f t="shared" si="11"/>
        <v>28188.071654999963</v>
      </c>
      <c r="C63" s="252">
        <f t="shared" si="8"/>
        <v>140.9403582749998</v>
      </c>
      <c r="D63" s="252">
        <f t="shared" si="9"/>
        <v>522.0013269444444</v>
      </c>
      <c r="E63" s="252">
        <f t="shared" si="10"/>
        <v>170.21873530416644</v>
      </c>
      <c r="F63" s="252">
        <f t="shared" si="13"/>
        <v>692.2200622486108</v>
      </c>
      <c r="G63" s="275"/>
      <c r="H63" s="275"/>
      <c r="I63" s="275"/>
      <c r="J63" s="275"/>
      <c r="K63" s="275"/>
      <c r="O63" s="126"/>
      <c r="P63" s="125"/>
    </row>
    <row r="64" spans="1:16" ht="12.75">
      <c r="A64" s="251">
        <f t="shared" si="12"/>
        <v>20</v>
      </c>
      <c r="B64" s="252">
        <f t="shared" si="11"/>
        <v>27666.070328055517</v>
      </c>
      <c r="C64" s="252">
        <f t="shared" si="8"/>
        <v>138.3303516402776</v>
      </c>
      <c r="D64" s="252">
        <f t="shared" si="9"/>
        <v>522.0013269444444</v>
      </c>
      <c r="E64" s="252">
        <f t="shared" si="10"/>
        <v>167.60872866944425</v>
      </c>
      <c r="F64" s="252">
        <f t="shared" si="13"/>
        <v>689.6100556138886</v>
      </c>
      <c r="G64" s="275"/>
      <c r="H64" s="275"/>
      <c r="I64" s="275"/>
      <c r="J64" s="275"/>
      <c r="K64" s="275"/>
      <c r="O64" s="126"/>
      <c r="P64" s="125"/>
    </row>
    <row r="65" spans="1:16" ht="12.75">
      <c r="A65" s="251">
        <f t="shared" si="12"/>
        <v>21</v>
      </c>
      <c r="B65" s="252">
        <f t="shared" si="11"/>
        <v>27144.06900111107</v>
      </c>
      <c r="C65" s="252">
        <f t="shared" si="8"/>
        <v>135.72034500555534</v>
      </c>
      <c r="D65" s="252">
        <f t="shared" si="9"/>
        <v>522.0013269444444</v>
      </c>
      <c r="E65" s="252">
        <f t="shared" si="10"/>
        <v>164.998722034722</v>
      </c>
      <c r="F65" s="252">
        <f t="shared" si="13"/>
        <v>687.0000489791664</v>
      </c>
      <c r="G65" s="275"/>
      <c r="H65" s="275"/>
      <c r="I65" s="275"/>
      <c r="J65" s="275"/>
      <c r="K65" s="275"/>
      <c r="O65" s="126"/>
      <c r="P65" s="125"/>
    </row>
    <row r="66" spans="1:16" ht="12.75">
      <c r="A66" s="251">
        <f t="shared" si="12"/>
        <v>22</v>
      </c>
      <c r="B66" s="252">
        <f t="shared" si="11"/>
        <v>26622.067674166625</v>
      </c>
      <c r="C66" s="252">
        <f t="shared" si="8"/>
        <v>133.11033837083312</v>
      </c>
      <c r="D66" s="252">
        <f t="shared" si="9"/>
        <v>522.0013269444444</v>
      </c>
      <c r="E66" s="252">
        <f t="shared" si="10"/>
        <v>162.3887153999998</v>
      </c>
      <c r="F66" s="252">
        <f t="shared" si="13"/>
        <v>684.3900423444442</v>
      </c>
      <c r="G66" s="275"/>
      <c r="H66" s="275"/>
      <c r="I66" s="275"/>
      <c r="J66" s="275"/>
      <c r="K66" s="275"/>
      <c r="O66" s="126"/>
      <c r="P66" s="125"/>
    </row>
    <row r="67" spans="1:16" ht="12.75">
      <c r="A67" s="251">
        <f t="shared" si="12"/>
        <v>23</v>
      </c>
      <c r="B67" s="252">
        <f t="shared" si="11"/>
        <v>26100.06634722218</v>
      </c>
      <c r="C67" s="252">
        <f t="shared" si="8"/>
        <v>130.5003317361109</v>
      </c>
      <c r="D67" s="252">
        <f t="shared" si="9"/>
        <v>522.0013269444444</v>
      </c>
      <c r="E67" s="252">
        <f t="shared" si="10"/>
        <v>159.77870876527754</v>
      </c>
      <c r="F67" s="252">
        <f t="shared" si="13"/>
        <v>681.7800357097219</v>
      </c>
      <c r="G67" s="275"/>
      <c r="H67" s="275"/>
      <c r="I67" s="275"/>
      <c r="J67" s="275"/>
      <c r="K67" s="275"/>
      <c r="O67" s="126"/>
      <c r="P67" s="125"/>
    </row>
    <row r="68" spans="1:16" ht="12.75">
      <c r="A68" s="251">
        <f t="shared" si="12"/>
        <v>24</v>
      </c>
      <c r="B68" s="252">
        <f t="shared" si="11"/>
        <v>25578.065020277732</v>
      </c>
      <c r="C68" s="252">
        <f t="shared" si="8"/>
        <v>127.89032510138865</v>
      </c>
      <c r="D68" s="252">
        <f t="shared" si="9"/>
        <v>522.0013269444444</v>
      </c>
      <c r="E68" s="252">
        <f t="shared" si="10"/>
        <v>157.16870213055532</v>
      </c>
      <c r="F68" s="252">
        <f t="shared" si="13"/>
        <v>679.1700290749997</v>
      </c>
      <c r="G68" s="275"/>
      <c r="H68" s="275"/>
      <c r="I68" s="275"/>
      <c r="J68" s="275"/>
      <c r="K68" s="275"/>
      <c r="O68" s="126"/>
      <c r="P68" s="125"/>
    </row>
    <row r="69" spans="1:16" ht="12.75">
      <c r="A69" s="251">
        <f t="shared" si="12"/>
        <v>25</v>
      </c>
      <c r="B69" s="252">
        <f t="shared" si="11"/>
        <v>25056.063693333286</v>
      </c>
      <c r="C69" s="252">
        <f t="shared" si="8"/>
        <v>125.28031846666643</v>
      </c>
      <c r="D69" s="252">
        <f t="shared" si="9"/>
        <v>522.0013269444444</v>
      </c>
      <c r="E69" s="252">
        <f t="shared" si="10"/>
        <v>154.5586954958331</v>
      </c>
      <c r="F69" s="252">
        <f t="shared" si="13"/>
        <v>676.5600224402774</v>
      </c>
      <c r="G69" s="275"/>
      <c r="H69" s="275"/>
      <c r="I69" s="275"/>
      <c r="J69" s="275"/>
      <c r="K69" s="275"/>
      <c r="O69" s="126"/>
      <c r="P69" s="125"/>
    </row>
    <row r="70" spans="1:16" ht="12.75">
      <c r="A70" s="251">
        <f t="shared" si="12"/>
        <v>26</v>
      </c>
      <c r="B70" s="252">
        <f t="shared" si="11"/>
        <v>24534.06236638884</v>
      </c>
      <c r="C70" s="252">
        <f t="shared" si="8"/>
        <v>122.6703118319442</v>
      </c>
      <c r="D70" s="252">
        <f t="shared" si="9"/>
        <v>522.0013269444444</v>
      </c>
      <c r="E70" s="252">
        <f t="shared" si="10"/>
        <v>151.94868886111087</v>
      </c>
      <c r="F70" s="252">
        <f t="shared" si="13"/>
        <v>673.9500158055553</v>
      </c>
      <c r="G70" s="275"/>
      <c r="H70" s="275"/>
      <c r="I70" s="275"/>
      <c r="J70" s="275"/>
      <c r="K70" s="275"/>
      <c r="O70" s="126"/>
      <c r="P70" s="125"/>
    </row>
    <row r="71" spans="1:16" ht="12.75">
      <c r="A71" s="251">
        <f t="shared" si="12"/>
        <v>27</v>
      </c>
      <c r="B71" s="252">
        <f t="shared" si="11"/>
        <v>24012.061039444394</v>
      </c>
      <c r="C71" s="252">
        <f t="shared" si="8"/>
        <v>120.06030519722196</v>
      </c>
      <c r="D71" s="252">
        <f t="shared" si="9"/>
        <v>522.0013269444444</v>
      </c>
      <c r="E71" s="252">
        <f t="shared" si="10"/>
        <v>149.33868222638864</v>
      </c>
      <c r="F71" s="252">
        <f t="shared" si="13"/>
        <v>671.340009170833</v>
      </c>
      <c r="G71" s="275"/>
      <c r="H71" s="275"/>
      <c r="I71" s="275"/>
      <c r="J71" s="275"/>
      <c r="K71" s="275"/>
      <c r="O71" s="126"/>
      <c r="P71" s="125"/>
    </row>
    <row r="72" spans="1:16" ht="12.75">
      <c r="A72" s="251">
        <f t="shared" si="12"/>
        <v>28</v>
      </c>
      <c r="B72" s="252">
        <f t="shared" si="11"/>
        <v>23490.059712499948</v>
      </c>
      <c r="C72" s="252">
        <f t="shared" si="8"/>
        <v>117.45029856249973</v>
      </c>
      <c r="D72" s="252">
        <f t="shared" si="9"/>
        <v>522.0013269444444</v>
      </c>
      <c r="E72" s="252">
        <f t="shared" si="10"/>
        <v>146.7286755916664</v>
      </c>
      <c r="F72" s="252">
        <f t="shared" si="13"/>
        <v>668.7300025361108</v>
      </c>
      <c r="G72" s="275"/>
      <c r="H72" s="275"/>
      <c r="I72" s="275"/>
      <c r="J72" s="275"/>
      <c r="K72" s="275"/>
      <c r="O72" s="126"/>
      <c r="P72" s="125"/>
    </row>
    <row r="73" spans="1:16" ht="12.75">
      <c r="A73" s="251">
        <f t="shared" si="12"/>
        <v>29</v>
      </c>
      <c r="B73" s="252">
        <f t="shared" si="11"/>
        <v>22968.0583855555</v>
      </c>
      <c r="C73" s="252">
        <f t="shared" si="8"/>
        <v>114.8402919277775</v>
      </c>
      <c r="D73" s="252">
        <f t="shared" si="9"/>
        <v>522.0013269444444</v>
      </c>
      <c r="E73" s="252">
        <f t="shared" si="10"/>
        <v>144.11866895694416</v>
      </c>
      <c r="F73" s="252">
        <f t="shared" si="13"/>
        <v>666.1199959013885</v>
      </c>
      <c r="G73" s="275"/>
      <c r="H73" s="275"/>
      <c r="I73" s="275"/>
      <c r="J73" s="275"/>
      <c r="K73" s="275"/>
      <c r="O73" s="126"/>
      <c r="P73" s="125"/>
    </row>
    <row r="74" spans="1:16" ht="12.75">
      <c r="A74" s="251">
        <f t="shared" si="12"/>
        <v>30</v>
      </c>
      <c r="B74" s="252">
        <f t="shared" si="11"/>
        <v>22446.057058611055</v>
      </c>
      <c r="C74" s="252">
        <f t="shared" si="8"/>
        <v>112.23028529305527</v>
      </c>
      <c r="D74" s="252">
        <f t="shared" si="9"/>
        <v>522.0013269444444</v>
      </c>
      <c r="E74" s="252">
        <f t="shared" si="10"/>
        <v>141.50866232222194</v>
      </c>
      <c r="F74" s="252">
        <f t="shared" si="13"/>
        <v>663.5099892666663</v>
      </c>
      <c r="G74" s="275"/>
      <c r="H74" s="275"/>
      <c r="I74" s="275"/>
      <c r="J74" s="275"/>
      <c r="K74" s="275"/>
      <c r="O74" s="126"/>
      <c r="P74" s="125"/>
    </row>
    <row r="75" spans="1:16" ht="12.75">
      <c r="A75" s="251">
        <f t="shared" si="12"/>
        <v>31</v>
      </c>
      <c r="B75" s="252">
        <f t="shared" si="11"/>
        <v>21924.05573166661</v>
      </c>
      <c r="C75" s="252">
        <f t="shared" si="8"/>
        <v>109.62027865833305</v>
      </c>
      <c r="D75" s="252">
        <f t="shared" si="9"/>
        <v>522.0013269444444</v>
      </c>
      <c r="E75" s="252">
        <f t="shared" si="10"/>
        <v>138.8986556874997</v>
      </c>
      <c r="F75" s="252">
        <f t="shared" si="13"/>
        <v>660.8999826319441</v>
      </c>
      <c r="G75" s="275"/>
      <c r="H75" s="275"/>
      <c r="I75" s="275"/>
      <c r="J75" s="275"/>
      <c r="K75" s="275"/>
      <c r="O75" s="126"/>
      <c r="P75" s="125"/>
    </row>
    <row r="76" spans="1:16" ht="12.75">
      <c r="A76" s="251">
        <f t="shared" si="12"/>
        <v>32</v>
      </c>
      <c r="B76" s="252">
        <f t="shared" si="11"/>
        <v>21402.054404722163</v>
      </c>
      <c r="C76" s="252">
        <f t="shared" si="8"/>
        <v>107.01027202361081</v>
      </c>
      <c r="D76" s="252">
        <f t="shared" si="9"/>
        <v>522.0013269444444</v>
      </c>
      <c r="E76" s="252">
        <f t="shared" si="10"/>
        <v>136.2886490527775</v>
      </c>
      <c r="F76" s="252">
        <f t="shared" si="13"/>
        <v>658.2899759972219</v>
      </c>
      <c r="G76" s="275"/>
      <c r="H76" s="275"/>
      <c r="I76" s="275"/>
      <c r="J76" s="275"/>
      <c r="K76" s="275"/>
      <c r="O76" s="126"/>
      <c r="P76" s="125"/>
    </row>
    <row r="77" spans="1:16" ht="12.75">
      <c r="A77" s="251">
        <f t="shared" si="12"/>
        <v>33</v>
      </c>
      <c r="B77" s="252">
        <f t="shared" si="11"/>
        <v>20880.053077777717</v>
      </c>
      <c r="C77" s="252">
        <f aca="true" t="shared" si="14" ref="C77:C108">B77*$D$34/12</f>
        <v>104.40026538888857</v>
      </c>
      <c r="D77" s="252">
        <f aca="true" t="shared" si="15" ref="D77:D108">$B$45/$D$33</f>
        <v>522.0013269444444</v>
      </c>
      <c r="E77" s="252">
        <f aca="true" t="shared" si="16" ref="E77:E108">C77+$B$25/$D$33</f>
        <v>133.67864241805523</v>
      </c>
      <c r="F77" s="252">
        <f t="shared" si="13"/>
        <v>655.6799693624996</v>
      </c>
      <c r="G77" s="275"/>
      <c r="H77" s="275"/>
      <c r="I77" s="275"/>
      <c r="J77" s="275"/>
      <c r="K77" s="275"/>
      <c r="O77" s="126"/>
      <c r="P77" s="125"/>
    </row>
    <row r="78" spans="1:16" ht="12.75">
      <c r="A78" s="251">
        <f t="shared" si="12"/>
        <v>34</v>
      </c>
      <c r="B78" s="252">
        <f t="shared" si="11"/>
        <v>20358.05175083327</v>
      </c>
      <c r="C78" s="252">
        <f t="shared" si="14"/>
        <v>101.79025875416635</v>
      </c>
      <c r="D78" s="252">
        <f t="shared" si="15"/>
        <v>522.0013269444444</v>
      </c>
      <c r="E78" s="252">
        <f t="shared" si="16"/>
        <v>131.068635783333</v>
      </c>
      <c r="F78" s="252">
        <f t="shared" si="13"/>
        <v>653.0699627277774</v>
      </c>
      <c r="G78" s="275"/>
      <c r="H78" s="275"/>
      <c r="I78" s="275"/>
      <c r="J78" s="275"/>
      <c r="K78" s="275"/>
      <c r="O78" s="126"/>
      <c r="P78" s="125"/>
    </row>
    <row r="79" spans="1:16" ht="12.75">
      <c r="A79" s="251">
        <f t="shared" si="12"/>
        <v>35</v>
      </c>
      <c r="B79" s="252">
        <f t="shared" si="11"/>
        <v>19836.050423888824</v>
      </c>
      <c r="C79" s="252">
        <f t="shared" si="14"/>
        <v>99.18025211944412</v>
      </c>
      <c r="D79" s="252">
        <f t="shared" si="15"/>
        <v>522.0013269444444</v>
      </c>
      <c r="E79" s="252">
        <f t="shared" si="16"/>
        <v>128.45862914861078</v>
      </c>
      <c r="F79" s="252">
        <f t="shared" si="13"/>
        <v>650.4599560930551</v>
      </c>
      <c r="G79" s="275"/>
      <c r="H79" s="275"/>
      <c r="I79" s="275"/>
      <c r="J79" s="275"/>
      <c r="K79" s="275"/>
      <c r="O79" s="126"/>
      <c r="P79" s="125"/>
    </row>
    <row r="80" spans="1:16" ht="12.75">
      <c r="A80" s="251">
        <f t="shared" si="12"/>
        <v>36</v>
      </c>
      <c r="B80" s="252">
        <f t="shared" si="11"/>
        <v>19314.049096944378</v>
      </c>
      <c r="C80" s="252">
        <f t="shared" si="14"/>
        <v>96.5702454847219</v>
      </c>
      <c r="D80" s="252">
        <f t="shared" si="15"/>
        <v>522.0013269444444</v>
      </c>
      <c r="E80" s="252">
        <f t="shared" si="16"/>
        <v>125.84862251388856</v>
      </c>
      <c r="F80" s="252">
        <f t="shared" si="13"/>
        <v>647.849949458333</v>
      </c>
      <c r="G80" s="275"/>
      <c r="H80" s="275"/>
      <c r="I80" s="275"/>
      <c r="J80" s="275"/>
      <c r="K80" s="275"/>
      <c r="O80" s="126"/>
      <c r="P80" s="125"/>
    </row>
    <row r="81" spans="1:16" ht="12.75">
      <c r="A81" s="251">
        <f t="shared" si="12"/>
        <v>37</v>
      </c>
      <c r="B81" s="252">
        <f t="shared" si="11"/>
        <v>18792.047769999932</v>
      </c>
      <c r="C81" s="252">
        <f t="shared" si="14"/>
        <v>93.96023884999966</v>
      </c>
      <c r="D81" s="252">
        <f t="shared" si="15"/>
        <v>522.0013269444444</v>
      </c>
      <c r="E81" s="252">
        <f t="shared" si="16"/>
        <v>123.23861587916632</v>
      </c>
      <c r="F81" s="252">
        <f t="shared" si="13"/>
        <v>645.2399428236107</v>
      </c>
      <c r="G81" s="275"/>
      <c r="H81" s="275"/>
      <c r="I81" s="275"/>
      <c r="J81" s="275"/>
      <c r="K81" s="275"/>
      <c r="O81" s="126"/>
      <c r="P81" s="125"/>
    </row>
    <row r="82" spans="1:16" ht="12.75">
      <c r="A82" s="251">
        <f t="shared" si="12"/>
        <v>38</v>
      </c>
      <c r="B82" s="252">
        <f t="shared" si="11"/>
        <v>18270.046443055486</v>
      </c>
      <c r="C82" s="252">
        <f t="shared" si="14"/>
        <v>91.35023221527742</v>
      </c>
      <c r="D82" s="252">
        <f t="shared" si="15"/>
        <v>522.0013269444444</v>
      </c>
      <c r="E82" s="252">
        <f t="shared" si="16"/>
        <v>120.62860924444408</v>
      </c>
      <c r="F82" s="252">
        <f t="shared" si="13"/>
        <v>642.6299361888885</v>
      </c>
      <c r="G82" s="275"/>
      <c r="H82" s="275"/>
      <c r="I82" s="275"/>
      <c r="J82" s="275"/>
      <c r="K82" s="275"/>
      <c r="O82" s="126"/>
      <c r="P82" s="125"/>
    </row>
    <row r="83" spans="1:16" ht="12.75">
      <c r="A83" s="251">
        <f t="shared" si="12"/>
        <v>39</v>
      </c>
      <c r="B83" s="252">
        <f t="shared" si="11"/>
        <v>17748.04511611104</v>
      </c>
      <c r="C83" s="252">
        <f t="shared" si="14"/>
        <v>88.74022558055519</v>
      </c>
      <c r="D83" s="252">
        <f t="shared" si="15"/>
        <v>522.0013269444444</v>
      </c>
      <c r="E83" s="252">
        <f t="shared" si="16"/>
        <v>118.01860260972185</v>
      </c>
      <c r="F83" s="252">
        <f t="shared" si="13"/>
        <v>640.0199295541662</v>
      </c>
      <c r="G83" s="275"/>
      <c r="H83" s="275"/>
      <c r="I83" s="275"/>
      <c r="J83" s="275"/>
      <c r="K83" s="275"/>
      <c r="O83" s="126"/>
      <c r="P83" s="125"/>
    </row>
    <row r="84" spans="1:16" ht="12.75">
      <c r="A84" s="251">
        <f t="shared" si="12"/>
        <v>40</v>
      </c>
      <c r="B84" s="252">
        <f t="shared" si="11"/>
        <v>17226.043789166593</v>
      </c>
      <c r="C84" s="252">
        <f t="shared" si="14"/>
        <v>86.13021894583297</v>
      </c>
      <c r="D84" s="252">
        <f t="shared" si="15"/>
        <v>522.0013269444444</v>
      </c>
      <c r="E84" s="252">
        <f t="shared" si="16"/>
        <v>115.40859597499963</v>
      </c>
      <c r="F84" s="252">
        <f t="shared" si="13"/>
        <v>637.4099229194439</v>
      </c>
      <c r="G84" s="275"/>
      <c r="H84" s="275"/>
      <c r="I84" s="275"/>
      <c r="J84" s="275"/>
      <c r="K84" s="275"/>
      <c r="O84" s="126"/>
      <c r="P84" s="125"/>
    </row>
    <row r="85" spans="1:16" ht="12.75">
      <c r="A85" s="251">
        <f t="shared" si="12"/>
        <v>41</v>
      </c>
      <c r="B85" s="252">
        <f t="shared" si="11"/>
        <v>16704.042462222147</v>
      </c>
      <c r="C85" s="252">
        <f t="shared" si="14"/>
        <v>83.52021231111074</v>
      </c>
      <c r="D85" s="252">
        <f t="shared" si="15"/>
        <v>522.0013269444444</v>
      </c>
      <c r="E85" s="252">
        <f t="shared" si="16"/>
        <v>112.7985893402774</v>
      </c>
      <c r="F85" s="252">
        <f t="shared" si="13"/>
        <v>634.7999162847218</v>
      </c>
      <c r="G85" s="275"/>
      <c r="H85" s="275"/>
      <c r="I85" s="275"/>
      <c r="J85" s="275"/>
      <c r="K85" s="275"/>
      <c r="O85" s="126"/>
      <c r="P85" s="125"/>
    </row>
    <row r="86" spans="1:16" ht="12.75">
      <c r="A86" s="251">
        <f t="shared" si="12"/>
        <v>42</v>
      </c>
      <c r="B86" s="252">
        <f t="shared" si="11"/>
        <v>16182.041135277703</v>
      </c>
      <c r="C86" s="252">
        <f t="shared" si="14"/>
        <v>80.91020567638851</v>
      </c>
      <c r="D86" s="252">
        <f t="shared" si="15"/>
        <v>522.0013269444444</v>
      </c>
      <c r="E86" s="252">
        <f t="shared" si="16"/>
        <v>110.18858270555518</v>
      </c>
      <c r="F86" s="252">
        <f t="shared" si="13"/>
        <v>632.1899096499995</v>
      </c>
      <c r="G86" s="275"/>
      <c r="H86" s="275"/>
      <c r="I86" s="275"/>
      <c r="J86" s="275"/>
      <c r="K86" s="275"/>
      <c r="O86" s="126"/>
      <c r="P86" s="125"/>
    </row>
    <row r="87" spans="1:16" ht="12.75">
      <c r="A87" s="251">
        <f t="shared" si="12"/>
        <v>43</v>
      </c>
      <c r="B87" s="252">
        <f t="shared" si="11"/>
        <v>15660.039808333258</v>
      </c>
      <c r="C87" s="252">
        <f t="shared" si="14"/>
        <v>78.30019904166629</v>
      </c>
      <c r="D87" s="252">
        <f t="shared" si="15"/>
        <v>522.0013269444444</v>
      </c>
      <c r="E87" s="252">
        <f t="shared" si="16"/>
        <v>107.57857607083295</v>
      </c>
      <c r="F87" s="252">
        <f t="shared" si="13"/>
        <v>629.5799030152773</v>
      </c>
      <c r="G87" s="275"/>
      <c r="H87" s="275"/>
      <c r="I87" s="275"/>
      <c r="J87" s="275"/>
      <c r="K87" s="275"/>
      <c r="O87" s="126"/>
      <c r="P87" s="125"/>
    </row>
    <row r="88" spans="1:16" ht="12.75">
      <c r="A88" s="251">
        <f t="shared" si="12"/>
        <v>44</v>
      </c>
      <c r="B88" s="252">
        <f t="shared" si="11"/>
        <v>15138.038481388814</v>
      </c>
      <c r="C88" s="252">
        <f t="shared" si="14"/>
        <v>75.69019240694406</v>
      </c>
      <c r="D88" s="252">
        <f t="shared" si="15"/>
        <v>522.0013269444444</v>
      </c>
      <c r="E88" s="252">
        <f t="shared" si="16"/>
        <v>104.96856943611073</v>
      </c>
      <c r="F88" s="252">
        <f t="shared" si="13"/>
        <v>626.9698963805552</v>
      </c>
      <c r="G88" s="275"/>
      <c r="H88" s="275"/>
      <c r="I88" s="275"/>
      <c r="J88" s="275"/>
      <c r="K88" s="275"/>
      <c r="O88" s="126"/>
      <c r="P88" s="125"/>
    </row>
    <row r="89" spans="1:16" ht="12.75">
      <c r="A89" s="251">
        <f t="shared" si="12"/>
        <v>45</v>
      </c>
      <c r="B89" s="252">
        <f t="shared" si="11"/>
        <v>14616.03715444437</v>
      </c>
      <c r="C89" s="252">
        <f t="shared" si="14"/>
        <v>73.08018577222184</v>
      </c>
      <c r="D89" s="252">
        <f t="shared" si="15"/>
        <v>522.0013269444444</v>
      </c>
      <c r="E89" s="252">
        <f t="shared" si="16"/>
        <v>102.3585628013885</v>
      </c>
      <c r="F89" s="252">
        <f t="shared" si="13"/>
        <v>624.3598897458329</v>
      </c>
      <c r="G89" s="275"/>
      <c r="H89" s="275"/>
      <c r="I89" s="275"/>
      <c r="J89" s="275"/>
      <c r="K89" s="275"/>
      <c r="O89" s="126"/>
      <c r="P89" s="125"/>
    </row>
    <row r="90" spans="1:16" ht="12.75">
      <c r="A90" s="251">
        <f t="shared" si="12"/>
        <v>46</v>
      </c>
      <c r="B90" s="252">
        <f t="shared" si="11"/>
        <v>14094.035827499925</v>
      </c>
      <c r="C90" s="252">
        <f t="shared" si="14"/>
        <v>70.47017913749963</v>
      </c>
      <c r="D90" s="252">
        <f t="shared" si="15"/>
        <v>522.0013269444444</v>
      </c>
      <c r="E90" s="252">
        <f t="shared" si="16"/>
        <v>99.74855616666629</v>
      </c>
      <c r="F90" s="252">
        <f t="shared" si="13"/>
        <v>621.7498831111106</v>
      </c>
      <c r="G90" s="275"/>
      <c r="H90" s="275"/>
      <c r="I90" s="275"/>
      <c r="J90" s="275"/>
      <c r="K90" s="275"/>
      <c r="O90" s="126"/>
      <c r="P90" s="125"/>
    </row>
    <row r="91" spans="1:16" ht="12.75">
      <c r="A91" s="251">
        <f t="shared" si="12"/>
        <v>47</v>
      </c>
      <c r="B91" s="252">
        <f t="shared" si="11"/>
        <v>13572.034500555481</v>
      </c>
      <c r="C91" s="252">
        <f t="shared" si="14"/>
        <v>67.8601725027774</v>
      </c>
      <c r="D91" s="252">
        <f t="shared" si="15"/>
        <v>522.0013269444444</v>
      </c>
      <c r="E91" s="252">
        <f t="shared" si="16"/>
        <v>97.13854953194407</v>
      </c>
      <c r="F91" s="252">
        <f t="shared" si="13"/>
        <v>619.1398764763884</v>
      </c>
      <c r="G91" s="275"/>
      <c r="H91" s="275"/>
      <c r="I91" s="275"/>
      <c r="J91" s="275"/>
      <c r="K91" s="275"/>
      <c r="O91" s="126"/>
      <c r="P91" s="125"/>
    </row>
    <row r="92" spans="1:16" ht="12.75">
      <c r="A92" s="251">
        <f t="shared" si="12"/>
        <v>48</v>
      </c>
      <c r="B92" s="252">
        <f t="shared" si="11"/>
        <v>13050.033173611037</v>
      </c>
      <c r="C92" s="252">
        <f t="shared" si="14"/>
        <v>65.25016586805518</v>
      </c>
      <c r="D92" s="252">
        <f t="shared" si="15"/>
        <v>522.0013269444444</v>
      </c>
      <c r="E92" s="252">
        <f t="shared" si="16"/>
        <v>94.52854289722184</v>
      </c>
      <c r="F92" s="252">
        <f t="shared" si="13"/>
        <v>616.5298698416663</v>
      </c>
      <c r="G92" s="275"/>
      <c r="H92" s="275"/>
      <c r="I92" s="275"/>
      <c r="J92" s="275"/>
      <c r="K92" s="275"/>
      <c r="O92" s="126"/>
      <c r="P92" s="125"/>
    </row>
    <row r="93" spans="1:16" ht="12.75">
      <c r="A93" s="251">
        <f t="shared" si="12"/>
        <v>49</v>
      </c>
      <c r="B93" s="252">
        <f t="shared" si="11"/>
        <v>12528.031846666592</v>
      </c>
      <c r="C93" s="252">
        <f t="shared" si="14"/>
        <v>62.64015923333296</v>
      </c>
      <c r="D93" s="252">
        <f t="shared" si="15"/>
        <v>522.0013269444444</v>
      </c>
      <c r="E93" s="252">
        <f t="shared" si="16"/>
        <v>91.91853626249963</v>
      </c>
      <c r="F93" s="252">
        <f t="shared" si="13"/>
        <v>613.919863206944</v>
      </c>
      <c r="G93" s="275"/>
      <c r="H93" s="275"/>
      <c r="I93" s="275"/>
      <c r="J93" s="275"/>
      <c r="K93" s="275"/>
      <c r="O93" s="126"/>
      <c r="P93" s="125"/>
    </row>
    <row r="94" spans="1:16" ht="12.75">
      <c r="A94" s="251">
        <f t="shared" si="12"/>
        <v>50</v>
      </c>
      <c r="B94" s="252">
        <f t="shared" si="11"/>
        <v>12006.030519722148</v>
      </c>
      <c r="C94" s="252">
        <f t="shared" si="14"/>
        <v>60.030152598610734</v>
      </c>
      <c r="D94" s="252">
        <f t="shared" si="15"/>
        <v>522.0013269444444</v>
      </c>
      <c r="E94" s="252">
        <f t="shared" si="16"/>
        <v>89.3085296277774</v>
      </c>
      <c r="F94" s="252">
        <f t="shared" si="13"/>
        <v>611.3098565722217</v>
      </c>
      <c r="G94" s="275"/>
      <c r="H94" s="275"/>
      <c r="I94" s="275"/>
      <c r="J94" s="275"/>
      <c r="K94" s="275"/>
      <c r="O94" s="126"/>
      <c r="P94" s="125"/>
    </row>
    <row r="95" spans="1:16" ht="12.75">
      <c r="A95" s="251">
        <f t="shared" si="12"/>
        <v>51</v>
      </c>
      <c r="B95" s="252">
        <f t="shared" si="11"/>
        <v>11484.029192777703</v>
      </c>
      <c r="C95" s="252">
        <f t="shared" si="14"/>
        <v>57.42014596388851</v>
      </c>
      <c r="D95" s="252">
        <f t="shared" si="15"/>
        <v>522.0013269444444</v>
      </c>
      <c r="E95" s="252">
        <f t="shared" si="16"/>
        <v>86.69852299305518</v>
      </c>
      <c r="F95" s="252">
        <f t="shared" si="13"/>
        <v>608.6998499374995</v>
      </c>
      <c r="G95" s="275"/>
      <c r="H95" s="275"/>
      <c r="I95" s="275"/>
      <c r="J95" s="275"/>
      <c r="K95" s="275"/>
      <c r="O95" s="126"/>
      <c r="P95" s="125"/>
    </row>
    <row r="96" spans="1:16" ht="12.75">
      <c r="A96" s="251">
        <f t="shared" si="12"/>
        <v>52</v>
      </c>
      <c r="B96" s="252">
        <f t="shared" si="11"/>
        <v>10962.027865833259</v>
      </c>
      <c r="C96" s="252">
        <f t="shared" si="14"/>
        <v>54.8101393291663</v>
      </c>
      <c r="D96" s="252">
        <f t="shared" si="15"/>
        <v>522.0013269444444</v>
      </c>
      <c r="E96" s="252">
        <f t="shared" si="16"/>
        <v>84.08851635833295</v>
      </c>
      <c r="F96" s="252">
        <f t="shared" si="13"/>
        <v>606.0898433027774</v>
      </c>
      <c r="G96" s="275"/>
      <c r="H96" s="275"/>
      <c r="I96" s="275"/>
      <c r="J96" s="275"/>
      <c r="K96" s="275"/>
      <c r="O96" s="126"/>
      <c r="P96" s="125"/>
    </row>
    <row r="97" spans="1:16" ht="12.75">
      <c r="A97" s="251">
        <f t="shared" si="12"/>
        <v>53</v>
      </c>
      <c r="B97" s="252">
        <f t="shared" si="11"/>
        <v>10440.026538888815</v>
      </c>
      <c r="C97" s="252">
        <f t="shared" si="14"/>
        <v>52.20013269444407</v>
      </c>
      <c r="D97" s="252">
        <f t="shared" si="15"/>
        <v>522.0013269444444</v>
      </c>
      <c r="E97" s="252">
        <f t="shared" si="16"/>
        <v>81.47850972361073</v>
      </c>
      <c r="F97" s="252">
        <f t="shared" si="13"/>
        <v>603.4798366680551</v>
      </c>
      <c r="G97" s="275"/>
      <c r="H97" s="275"/>
      <c r="I97" s="275"/>
      <c r="J97" s="275"/>
      <c r="K97" s="275"/>
      <c r="O97" s="126"/>
      <c r="P97" s="125"/>
    </row>
    <row r="98" spans="1:16" ht="12.75">
      <c r="A98" s="251">
        <f t="shared" si="12"/>
        <v>54</v>
      </c>
      <c r="B98" s="252">
        <f t="shared" si="11"/>
        <v>9918.02521194437</v>
      </c>
      <c r="C98" s="252">
        <f t="shared" si="14"/>
        <v>49.590126059721854</v>
      </c>
      <c r="D98" s="252">
        <f t="shared" si="15"/>
        <v>522.0013269444444</v>
      </c>
      <c r="E98" s="252">
        <f t="shared" si="16"/>
        <v>78.86850308888852</v>
      </c>
      <c r="F98" s="252">
        <f t="shared" si="13"/>
        <v>600.8698300333328</v>
      </c>
      <c r="G98" s="275"/>
      <c r="H98" s="275"/>
      <c r="I98" s="275"/>
      <c r="J98" s="275"/>
      <c r="K98" s="275"/>
      <c r="O98" s="126"/>
      <c r="P98" s="125"/>
    </row>
    <row r="99" spans="1:16" ht="12.75">
      <c r="A99" s="251">
        <f t="shared" si="12"/>
        <v>55</v>
      </c>
      <c r="B99" s="252">
        <f t="shared" si="11"/>
        <v>9396.023884999926</v>
      </c>
      <c r="C99" s="252">
        <f t="shared" si="14"/>
        <v>46.98011942499963</v>
      </c>
      <c r="D99" s="252">
        <f t="shared" si="15"/>
        <v>522.0013269444444</v>
      </c>
      <c r="E99" s="252">
        <f t="shared" si="16"/>
        <v>76.25849645416629</v>
      </c>
      <c r="F99" s="252">
        <f t="shared" si="13"/>
        <v>598.2598233986107</v>
      </c>
      <c r="G99" s="275"/>
      <c r="H99" s="275"/>
      <c r="I99" s="275"/>
      <c r="J99" s="275"/>
      <c r="K99" s="275"/>
      <c r="O99" s="126"/>
      <c r="P99" s="125"/>
    </row>
    <row r="100" spans="1:16" ht="12.75">
      <c r="A100" s="251">
        <f t="shared" si="12"/>
        <v>56</v>
      </c>
      <c r="B100" s="252">
        <f t="shared" si="11"/>
        <v>8874.022558055482</v>
      </c>
      <c r="C100" s="252">
        <f t="shared" si="14"/>
        <v>44.3701127902774</v>
      </c>
      <c r="D100" s="252">
        <f t="shared" si="15"/>
        <v>522.0013269444444</v>
      </c>
      <c r="E100" s="252">
        <f t="shared" si="16"/>
        <v>73.64848981944407</v>
      </c>
      <c r="F100" s="252">
        <f t="shared" si="13"/>
        <v>595.6498167638885</v>
      </c>
      <c r="G100" s="275"/>
      <c r="H100" s="275"/>
      <c r="I100" s="275"/>
      <c r="J100" s="275"/>
      <c r="K100" s="275"/>
      <c r="O100" s="126"/>
      <c r="P100" s="125"/>
    </row>
    <row r="101" spans="1:16" ht="12.75">
      <c r="A101" s="251">
        <f t="shared" si="12"/>
        <v>57</v>
      </c>
      <c r="B101" s="252">
        <f t="shared" si="11"/>
        <v>8352.021231111037</v>
      </c>
      <c r="C101" s="252">
        <f t="shared" si="14"/>
        <v>41.760106155555185</v>
      </c>
      <c r="D101" s="252">
        <f t="shared" si="15"/>
        <v>522.0013269444444</v>
      </c>
      <c r="E101" s="252">
        <f t="shared" si="16"/>
        <v>71.03848318472185</v>
      </c>
      <c r="F101" s="252">
        <f t="shared" si="13"/>
        <v>593.0398101291662</v>
      </c>
      <c r="G101" s="275"/>
      <c r="H101" s="275"/>
      <c r="I101" s="275"/>
      <c r="J101" s="275"/>
      <c r="K101" s="275"/>
      <c r="O101" s="126"/>
      <c r="P101" s="125"/>
    </row>
    <row r="102" spans="1:16" ht="12.75">
      <c r="A102" s="251">
        <f t="shared" si="12"/>
        <v>58</v>
      </c>
      <c r="B102" s="252">
        <f t="shared" si="11"/>
        <v>7830.019904166593</v>
      </c>
      <c r="C102" s="252">
        <f t="shared" si="14"/>
        <v>39.15009952083296</v>
      </c>
      <c r="D102" s="252">
        <f t="shared" si="15"/>
        <v>522.0013269444444</v>
      </c>
      <c r="E102" s="252">
        <f t="shared" si="16"/>
        <v>68.42847654999963</v>
      </c>
      <c r="F102" s="252">
        <f t="shared" si="13"/>
        <v>590.4298034944441</v>
      </c>
      <c r="G102" s="275"/>
      <c r="H102" s="275"/>
      <c r="I102" s="275"/>
      <c r="J102" s="275"/>
      <c r="K102" s="275"/>
      <c r="O102" s="126"/>
      <c r="P102" s="125"/>
    </row>
    <row r="103" spans="1:16" ht="12.75">
      <c r="A103" s="251">
        <f t="shared" si="12"/>
        <v>59</v>
      </c>
      <c r="B103" s="252">
        <f t="shared" si="11"/>
        <v>7308.018577222148</v>
      </c>
      <c r="C103" s="252">
        <f t="shared" si="14"/>
        <v>36.54009288611074</v>
      </c>
      <c r="D103" s="252">
        <f t="shared" si="15"/>
        <v>522.0013269444444</v>
      </c>
      <c r="E103" s="252">
        <f t="shared" si="16"/>
        <v>65.8184699152774</v>
      </c>
      <c r="F103" s="252">
        <f t="shared" si="13"/>
        <v>587.8197968597218</v>
      </c>
      <c r="G103" s="275"/>
      <c r="H103" s="275"/>
      <c r="I103" s="275"/>
      <c r="J103" s="275"/>
      <c r="K103" s="275"/>
      <c r="O103" s="126"/>
      <c r="P103" s="125"/>
    </row>
    <row r="104" spans="1:16" ht="12.75">
      <c r="A104" s="251">
        <f t="shared" si="12"/>
        <v>60</v>
      </c>
      <c r="B104" s="252">
        <f t="shared" si="11"/>
        <v>6786.017250277704</v>
      </c>
      <c r="C104" s="252">
        <f t="shared" si="14"/>
        <v>33.93008625138852</v>
      </c>
      <c r="D104" s="252">
        <f t="shared" si="15"/>
        <v>522.0013269444444</v>
      </c>
      <c r="E104" s="252">
        <f t="shared" si="16"/>
        <v>63.208463280555186</v>
      </c>
      <c r="F104" s="252">
        <f t="shared" si="13"/>
        <v>585.2097902249996</v>
      </c>
      <c r="G104" s="275"/>
      <c r="H104" s="275"/>
      <c r="I104" s="275"/>
      <c r="J104" s="275"/>
      <c r="K104" s="275"/>
      <c r="O104" s="126"/>
      <c r="P104" s="125"/>
    </row>
    <row r="105" spans="1:16" ht="12.75">
      <c r="A105" s="251">
        <f t="shared" si="12"/>
        <v>61</v>
      </c>
      <c r="B105" s="252">
        <f t="shared" si="11"/>
        <v>6264.01592333326</v>
      </c>
      <c r="C105" s="252">
        <f t="shared" si="14"/>
        <v>31.320079616666295</v>
      </c>
      <c r="D105" s="252">
        <f t="shared" si="15"/>
        <v>522.0013269444444</v>
      </c>
      <c r="E105" s="252">
        <f t="shared" si="16"/>
        <v>60.598456645832954</v>
      </c>
      <c r="F105" s="252">
        <f t="shared" si="13"/>
        <v>582.5997835902773</v>
      </c>
      <c r="G105" s="275"/>
      <c r="H105" s="275"/>
      <c r="I105" s="275"/>
      <c r="J105" s="275"/>
      <c r="K105" s="275"/>
      <c r="O105" s="126"/>
      <c r="P105" s="125"/>
    </row>
    <row r="106" spans="1:16" ht="12.75">
      <c r="A106" s="251">
        <f t="shared" si="12"/>
        <v>62</v>
      </c>
      <c r="B106" s="252">
        <f t="shared" si="11"/>
        <v>5742.014596388815</v>
      </c>
      <c r="C106" s="252">
        <f t="shared" si="14"/>
        <v>28.710072981944077</v>
      </c>
      <c r="D106" s="252">
        <f t="shared" si="15"/>
        <v>522.0013269444444</v>
      </c>
      <c r="E106" s="252">
        <f t="shared" si="16"/>
        <v>57.98845001111074</v>
      </c>
      <c r="F106" s="252">
        <f t="shared" si="13"/>
        <v>579.9897769555552</v>
      </c>
      <c r="G106" s="275"/>
      <c r="H106" s="275"/>
      <c r="I106" s="275"/>
      <c r="J106" s="275"/>
      <c r="K106" s="275"/>
      <c r="O106" s="126"/>
      <c r="P106" s="125"/>
    </row>
    <row r="107" spans="1:16" ht="12.75">
      <c r="A107" s="251">
        <f t="shared" si="12"/>
        <v>63</v>
      </c>
      <c r="B107" s="252">
        <f t="shared" si="11"/>
        <v>5220.013269444371</v>
      </c>
      <c r="C107" s="252">
        <f t="shared" si="14"/>
        <v>26.100066347221855</v>
      </c>
      <c r="D107" s="252">
        <f t="shared" si="15"/>
        <v>522.0013269444444</v>
      </c>
      <c r="E107" s="252">
        <f t="shared" si="16"/>
        <v>55.37844337638852</v>
      </c>
      <c r="F107" s="252">
        <f t="shared" si="13"/>
        <v>577.3797703208329</v>
      </c>
      <c r="G107" s="275"/>
      <c r="H107" s="275"/>
      <c r="I107" s="275"/>
      <c r="J107" s="275"/>
      <c r="K107" s="275"/>
      <c r="O107" s="126"/>
      <c r="P107" s="125"/>
    </row>
    <row r="108" spans="1:16" ht="12.75">
      <c r="A108" s="251">
        <f t="shared" si="12"/>
        <v>64</v>
      </c>
      <c r="B108" s="252">
        <f t="shared" si="11"/>
        <v>4698.011942499927</v>
      </c>
      <c r="C108" s="252">
        <f t="shared" si="14"/>
        <v>23.490059712499633</v>
      </c>
      <c r="D108" s="252">
        <f t="shared" si="15"/>
        <v>522.0013269444444</v>
      </c>
      <c r="E108" s="252">
        <f t="shared" si="16"/>
        <v>52.76843674166629</v>
      </c>
      <c r="F108" s="252">
        <f t="shared" si="13"/>
        <v>574.7697636861107</v>
      </c>
      <c r="G108" s="275"/>
      <c r="H108" s="275"/>
      <c r="I108" s="275"/>
      <c r="J108" s="275"/>
      <c r="K108" s="275"/>
      <c r="O108" s="126"/>
      <c r="P108" s="125"/>
    </row>
    <row r="109" spans="1:16" ht="12.75">
      <c r="A109" s="251">
        <f t="shared" si="12"/>
        <v>65</v>
      </c>
      <c r="B109" s="252">
        <f t="shared" si="11"/>
        <v>4176.010615555482</v>
      </c>
      <c r="C109" s="252">
        <f aca="true" t="shared" si="17" ref="C109:C116">B109*$D$34/12</f>
        <v>20.88005307777741</v>
      </c>
      <c r="D109" s="252">
        <f aca="true" t="shared" si="18" ref="D109:D116">$B$45/$D$33</f>
        <v>522.0013269444444</v>
      </c>
      <c r="E109" s="252">
        <f aca="true" t="shared" si="19" ref="E109:E116">C109+$B$25/$D$33</f>
        <v>50.158430106944074</v>
      </c>
      <c r="F109" s="252">
        <f t="shared" si="13"/>
        <v>572.1597570513884</v>
      </c>
      <c r="G109" s="275"/>
      <c r="H109" s="275"/>
      <c r="I109" s="275"/>
      <c r="J109" s="275"/>
      <c r="K109" s="275"/>
      <c r="O109" s="126"/>
      <c r="P109" s="125"/>
    </row>
    <row r="110" spans="1:16" ht="12.75">
      <c r="A110" s="251">
        <f t="shared" si="12"/>
        <v>66</v>
      </c>
      <c r="B110" s="252">
        <f aca="true" t="shared" si="20" ref="B110:B116">B109-D109</f>
        <v>3654.009288611038</v>
      </c>
      <c r="C110" s="252">
        <f t="shared" si="17"/>
        <v>18.27004644305519</v>
      </c>
      <c r="D110" s="252">
        <f t="shared" si="18"/>
        <v>522.0013269444444</v>
      </c>
      <c r="E110" s="252">
        <f t="shared" si="19"/>
        <v>47.548423472221856</v>
      </c>
      <c r="F110" s="252">
        <f t="shared" si="13"/>
        <v>569.5497504166663</v>
      </c>
      <c r="G110" s="275"/>
      <c r="H110" s="275"/>
      <c r="I110" s="275"/>
      <c r="J110" s="275"/>
      <c r="K110" s="275"/>
      <c r="O110" s="126"/>
      <c r="P110" s="125"/>
    </row>
    <row r="111" spans="1:16" ht="12.75">
      <c r="A111" s="251">
        <f aca="true" t="shared" si="21" ref="A111:A116">A110+1</f>
        <v>67</v>
      </c>
      <c r="B111" s="252">
        <f t="shared" si="20"/>
        <v>3132.0079616665935</v>
      </c>
      <c r="C111" s="252">
        <f t="shared" si="17"/>
        <v>15.660039808332968</v>
      </c>
      <c r="D111" s="252">
        <f t="shared" si="18"/>
        <v>522.0013269444444</v>
      </c>
      <c r="E111" s="252">
        <f t="shared" si="19"/>
        <v>44.93841683749963</v>
      </c>
      <c r="F111" s="252">
        <f aca="true" t="shared" si="22" ref="F111:F116">D111+E111</f>
        <v>566.939743781944</v>
      </c>
      <c r="G111" s="275"/>
      <c r="H111" s="275"/>
      <c r="I111" s="275"/>
      <c r="J111" s="275"/>
      <c r="K111" s="275"/>
      <c r="O111" s="126"/>
      <c r="P111" s="125"/>
    </row>
    <row r="112" spans="1:16" ht="12.75">
      <c r="A112" s="251">
        <f t="shared" si="21"/>
        <v>68</v>
      </c>
      <c r="B112" s="252">
        <f t="shared" si="20"/>
        <v>2610.006634722149</v>
      </c>
      <c r="C112" s="252">
        <f t="shared" si="17"/>
        <v>13.050033173610744</v>
      </c>
      <c r="D112" s="252">
        <f t="shared" si="18"/>
        <v>522.0013269444444</v>
      </c>
      <c r="E112" s="252">
        <f t="shared" si="19"/>
        <v>42.328410202777405</v>
      </c>
      <c r="F112" s="252">
        <f t="shared" si="22"/>
        <v>564.3297371472217</v>
      </c>
      <c r="G112" s="275"/>
      <c r="H112" s="275"/>
      <c r="I112" s="275"/>
      <c r="J112" s="275"/>
      <c r="K112" s="275"/>
      <c r="O112" s="126"/>
      <c r="P112" s="125"/>
    </row>
    <row r="113" spans="1:16" ht="12.75">
      <c r="A113" s="251">
        <f t="shared" si="21"/>
        <v>69</v>
      </c>
      <c r="B113" s="252">
        <f t="shared" si="20"/>
        <v>2088.0053077777047</v>
      </c>
      <c r="C113" s="252">
        <f t="shared" si="17"/>
        <v>10.440026538888523</v>
      </c>
      <c r="D113" s="252">
        <f t="shared" si="18"/>
        <v>522.0013269444444</v>
      </c>
      <c r="E113" s="252">
        <f t="shared" si="19"/>
        <v>39.71840356805519</v>
      </c>
      <c r="F113" s="252">
        <f t="shared" si="22"/>
        <v>561.7197305124996</v>
      </c>
      <c r="G113" s="275"/>
      <c r="H113" s="275"/>
      <c r="I113" s="275"/>
      <c r="J113" s="275"/>
      <c r="K113" s="275"/>
      <c r="O113" s="126"/>
      <c r="P113" s="125"/>
    </row>
    <row r="114" spans="1:16" ht="12.75">
      <c r="A114" s="251">
        <f t="shared" si="21"/>
        <v>70</v>
      </c>
      <c r="B114" s="252">
        <f t="shared" si="20"/>
        <v>1566.0039808332604</v>
      </c>
      <c r="C114" s="252">
        <f t="shared" si="17"/>
        <v>7.830019904166302</v>
      </c>
      <c r="D114" s="252">
        <f t="shared" si="18"/>
        <v>522.0013269444444</v>
      </c>
      <c r="E114" s="252">
        <f t="shared" si="19"/>
        <v>37.10839693333296</v>
      </c>
      <c r="F114" s="252">
        <f t="shared" si="22"/>
        <v>559.1097238777774</v>
      </c>
      <c r="G114" s="275"/>
      <c r="H114" s="275"/>
      <c r="I114" s="275"/>
      <c r="J114" s="275"/>
      <c r="K114" s="275"/>
      <c r="O114" s="126"/>
      <c r="P114" s="125"/>
    </row>
    <row r="115" spans="1:16" ht="12.75">
      <c r="A115" s="251">
        <f t="shared" si="21"/>
        <v>71</v>
      </c>
      <c r="B115" s="252">
        <f t="shared" si="20"/>
        <v>1044.002653888816</v>
      </c>
      <c r="C115" s="252">
        <f t="shared" si="17"/>
        <v>5.22001326944408</v>
      </c>
      <c r="D115" s="252">
        <f t="shared" si="18"/>
        <v>522.0013269444444</v>
      </c>
      <c r="E115" s="252">
        <f t="shared" si="19"/>
        <v>34.498390298610744</v>
      </c>
      <c r="F115" s="252">
        <f t="shared" si="22"/>
        <v>556.4997172430551</v>
      </c>
      <c r="G115" s="275"/>
      <c r="H115" s="275"/>
      <c r="I115" s="275"/>
      <c r="J115" s="275"/>
      <c r="K115" s="275"/>
      <c r="O115" s="126"/>
      <c r="P115" s="125"/>
    </row>
    <row r="116" spans="1:16" ht="12.75">
      <c r="A116" s="251">
        <f t="shared" si="21"/>
        <v>72</v>
      </c>
      <c r="B116" s="252">
        <f t="shared" si="20"/>
        <v>522.0013269443716</v>
      </c>
      <c r="C116" s="252">
        <f t="shared" si="17"/>
        <v>2.610006634721858</v>
      </c>
      <c r="D116" s="252">
        <f t="shared" si="18"/>
        <v>522.0013269444444</v>
      </c>
      <c r="E116" s="252">
        <f t="shared" si="19"/>
        <v>31.888383663888522</v>
      </c>
      <c r="F116" s="252">
        <f t="shared" si="22"/>
        <v>553.8897106083328</v>
      </c>
      <c r="G116" s="275"/>
      <c r="H116" s="275"/>
      <c r="I116" s="275"/>
      <c r="J116" s="275"/>
      <c r="K116" s="275"/>
      <c r="O116" s="126"/>
      <c r="P116" s="125"/>
    </row>
    <row r="117" spans="1:11" ht="12.75">
      <c r="A117" s="239"/>
      <c r="B117" s="238"/>
      <c r="C117" s="238"/>
      <c r="D117" s="238"/>
      <c r="E117" s="238"/>
      <c r="F117" s="238"/>
      <c r="G117" s="275"/>
      <c r="H117" s="275"/>
      <c r="I117" s="275"/>
      <c r="J117" s="275"/>
      <c r="K117" s="275"/>
    </row>
    <row r="118" spans="1:11" ht="12.75">
      <c r="A118" s="239"/>
      <c r="B118" s="238" t="s">
        <v>276</v>
      </c>
      <c r="C118" s="238"/>
      <c r="D118" s="238">
        <f>SUM(D45:D116)</f>
        <v>37584.09554000007</v>
      </c>
      <c r="E118" s="238">
        <f>SUM(E45:E116)</f>
        <v>8967.140582149981</v>
      </c>
      <c r="F118" s="238">
        <f>SUM(F45:F116)</f>
        <v>46551.23612214998</v>
      </c>
      <c r="G118" s="275"/>
      <c r="H118" s="275"/>
      <c r="I118" s="275"/>
      <c r="J118" s="275"/>
      <c r="K118" s="275"/>
    </row>
    <row r="119" spans="1:12" ht="12.75">
      <c r="A119" s="239"/>
      <c r="B119" s="238"/>
      <c r="C119" s="238"/>
      <c r="D119" s="238"/>
      <c r="E119" s="238"/>
      <c r="F119" s="238"/>
      <c r="G119" s="307"/>
      <c r="H119" s="275"/>
      <c r="I119" s="307"/>
      <c r="J119" s="307"/>
      <c r="K119" s="307"/>
      <c r="L119" s="125"/>
    </row>
    <row r="120" spans="1:12" ht="12.75">
      <c r="A120" s="238" t="s">
        <v>277</v>
      </c>
      <c r="B120" s="238"/>
      <c r="C120" s="238"/>
      <c r="D120" s="238"/>
      <c r="E120" s="238"/>
      <c r="F120" s="238"/>
      <c r="G120" s="275"/>
      <c r="H120" s="275"/>
      <c r="I120" s="307"/>
      <c r="J120" s="307"/>
      <c r="K120" s="307"/>
      <c r="L120" s="125"/>
    </row>
    <row r="121" spans="1:12" ht="12.75">
      <c r="A121" s="238" t="s">
        <v>278</v>
      </c>
      <c r="B121" s="238"/>
      <c r="C121" s="238"/>
      <c r="D121" s="238"/>
      <c r="E121" s="238"/>
      <c r="F121" s="238"/>
      <c r="G121" s="275"/>
      <c r="H121" s="275"/>
      <c r="I121" s="307"/>
      <c r="J121" s="307"/>
      <c r="K121" s="307"/>
      <c r="L121" s="125"/>
    </row>
    <row r="122" spans="1:11" ht="12.75">
      <c r="A122" s="253" t="s">
        <v>279</v>
      </c>
      <c r="B122" s="253"/>
      <c r="C122" s="253"/>
      <c r="D122" s="253"/>
      <c r="E122" s="253"/>
      <c r="F122" s="238"/>
      <c r="G122" s="275"/>
      <c r="H122" s="275"/>
      <c r="I122" s="275"/>
      <c r="J122" s="275"/>
      <c r="K122" s="275"/>
    </row>
    <row r="123" spans="1:11" ht="12.75">
      <c r="A123" s="238" t="s">
        <v>280</v>
      </c>
      <c r="B123" s="238"/>
      <c r="C123" s="238"/>
      <c r="D123" s="238"/>
      <c r="E123" s="238"/>
      <c r="F123" s="238"/>
      <c r="G123" s="275"/>
      <c r="H123" s="275"/>
      <c r="I123" s="275"/>
      <c r="J123" s="275"/>
      <c r="K123" s="275"/>
    </row>
    <row r="124" spans="1:11" ht="12.75">
      <c r="A124" s="239"/>
      <c r="B124" s="238"/>
      <c r="C124" s="238"/>
      <c r="D124" s="238"/>
      <c r="E124" s="238"/>
      <c r="F124" s="238"/>
      <c r="G124" s="275"/>
      <c r="H124" s="275"/>
      <c r="I124" s="275"/>
      <c r="J124" s="275"/>
      <c r="K124" s="275"/>
    </row>
    <row r="125" spans="1:11" ht="12.75">
      <c r="A125" s="254">
        <f>F118/72</f>
        <v>646.544946140972</v>
      </c>
      <c r="B125" s="254" t="s">
        <v>173</v>
      </c>
      <c r="C125" s="254"/>
      <c r="D125" s="255"/>
      <c r="E125" s="238"/>
      <c r="F125" s="238"/>
      <c r="G125" s="275"/>
      <c r="H125" s="275"/>
      <c r="I125" s="275"/>
      <c r="J125" s="275"/>
      <c r="K125" s="275"/>
    </row>
    <row r="126" spans="1:11" ht="12.75">
      <c r="A126" s="254">
        <f>E118/72</f>
        <v>124.54361919652752</v>
      </c>
      <c r="B126" s="254" t="s">
        <v>174</v>
      </c>
      <c r="C126" s="254"/>
      <c r="D126" s="254"/>
      <c r="E126" s="238"/>
      <c r="F126" s="238"/>
      <c r="G126" s="275"/>
      <c r="H126" s="275"/>
      <c r="I126" s="275"/>
      <c r="J126" s="275"/>
      <c r="K126" s="275"/>
    </row>
    <row r="127" spans="1:11" ht="12.75">
      <c r="A127" s="254">
        <f>A125-A126</f>
        <v>522.0013269444445</v>
      </c>
      <c r="B127" s="254" t="s">
        <v>175</v>
      </c>
      <c r="C127" s="254"/>
      <c r="D127" s="254"/>
      <c r="E127" s="238"/>
      <c r="F127" s="238"/>
      <c r="G127" s="275"/>
      <c r="H127" s="275"/>
      <c r="I127" s="275"/>
      <c r="J127" s="275"/>
      <c r="K127" s="275"/>
    </row>
  </sheetData>
  <sheetProtection/>
  <mergeCells count="8">
    <mergeCell ref="A37:F37"/>
    <mergeCell ref="A38:F38"/>
    <mergeCell ref="A31:F31"/>
    <mergeCell ref="A2:B2"/>
    <mergeCell ref="A4:K4"/>
    <mergeCell ref="C6:J6"/>
    <mergeCell ref="A30:B30"/>
    <mergeCell ref="A36:F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29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Бочаров</cp:lastModifiedBy>
  <cp:lastPrinted>2008-06-30T17:37:47Z</cp:lastPrinted>
  <dcterms:created xsi:type="dcterms:W3CDTF">1996-10-08T23:32:33Z</dcterms:created>
  <dcterms:modified xsi:type="dcterms:W3CDTF">2008-08-07T12:18:27Z</dcterms:modified>
  <cp:category/>
  <cp:version/>
  <cp:contentType/>
  <cp:contentStatus/>
</cp:coreProperties>
</file>