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835" windowHeight="9495" activeTab="0"/>
  </bookViews>
  <sheets>
    <sheet name="Прайс-Справочник" sheetId="1" r:id="rId1"/>
  </sheets>
  <externalReferences>
    <externalReference r:id="rId4"/>
    <externalReference r:id="rId5"/>
  </externalReferences>
  <definedNames>
    <definedName name="GDAI">'[1]Бюджет в динамике'!$C$171</definedName>
    <definedName name="GKAB">'[1]Бюджет в динамике'!$C$108</definedName>
    <definedName name="GKAP">'[1]Бюджет в динамике'!$C$78</definedName>
    <definedName name="GKAR">'[1]Бюджет в динамике'!$C$47</definedName>
    <definedName name="GLIL">'[1]Бюджет в динамике'!$C$261</definedName>
    <definedName name="GSV">'[1]Бюджет в динамике'!$C$141</definedName>
    <definedName name="GTOM">'[1]Бюджет в динамике'!$C$203</definedName>
    <definedName name="KAR">'[2]Расходы мини тр'!$G$59</definedName>
    <definedName name="KARR">'[2]Расходы МТЗ80'!$G$60</definedName>
    <definedName name="KL">'Прайс-Справочник'!#REF!</definedName>
    <definedName name="N2K">'Прайс-Справочник'!$D$2</definedName>
    <definedName name="NK">'Прайс-Справочник'!$C$2</definedName>
    <definedName name="NU">'Прайс-Справочник'!#REF!</definedName>
    <definedName name="укен">'Прайс-Справочник'!#REF!</definedName>
  </definedNames>
  <calcPr fullCalcOnLoad="1"/>
</workbook>
</file>

<file path=xl/sharedStrings.xml><?xml version="1.0" encoding="utf-8"?>
<sst xmlns="http://schemas.openxmlformats.org/spreadsheetml/2006/main" count="91" uniqueCount="70">
  <si>
    <t>Количество клиентов</t>
  </si>
  <si>
    <t>1 год</t>
  </si>
  <si>
    <t>Из грунта</t>
  </si>
  <si>
    <t>сюда пишет, сколько ему надо</t>
  </si>
  <si>
    <t>на 150 чел</t>
  </si>
  <si>
    <t>на 500 чел</t>
  </si>
  <si>
    <t>без доставки, хранения, упаковки, накладных расх</t>
  </si>
  <si>
    <t>кг</t>
  </si>
  <si>
    <t>цена</t>
  </si>
  <si>
    <t>сумма</t>
  </si>
  <si>
    <t>урожайность</t>
  </si>
  <si>
    <t>растений/метров на га</t>
  </si>
  <si>
    <t>урожайность 1 раст./1м</t>
  </si>
  <si>
    <t>чел с 1 га</t>
  </si>
  <si>
    <t>надо га</t>
  </si>
  <si>
    <t>доход</t>
  </si>
  <si>
    <t>масса, кг</t>
  </si>
  <si>
    <t>доход с 1 га</t>
  </si>
  <si>
    <t>расходы 1 га</t>
  </si>
  <si>
    <t>промежут. прибыль 1 га</t>
  </si>
  <si>
    <t>Картофель</t>
  </si>
  <si>
    <t xml:space="preserve">Картофель ранний </t>
  </si>
  <si>
    <t>Картофель поздний</t>
  </si>
  <si>
    <t>Капуста</t>
  </si>
  <si>
    <t>Ранняя</t>
  </si>
  <si>
    <t>Средняя</t>
  </si>
  <si>
    <t>Поздняя</t>
  </si>
  <si>
    <t>Красная</t>
  </si>
  <si>
    <t>Брокколи</t>
  </si>
  <si>
    <t>Тыквы, кабачки</t>
  </si>
  <si>
    <t>Кабачки молодые</t>
  </si>
  <si>
    <t>Кабачки крупные</t>
  </si>
  <si>
    <t>Тыква порционная</t>
  </si>
  <si>
    <t>Тыква парижанка</t>
  </si>
  <si>
    <t>Тыква мускатная</t>
  </si>
  <si>
    <t>Корнеплоды</t>
  </si>
  <si>
    <t>Свекла</t>
  </si>
  <si>
    <t>Морковь</t>
  </si>
  <si>
    <t>Брюква</t>
  </si>
  <si>
    <t>Репа</t>
  </si>
  <si>
    <t>Корнеплоды 2 половины лета</t>
  </si>
  <si>
    <t>Редька</t>
  </si>
  <si>
    <t>Дайкон</t>
  </si>
  <si>
    <t>Луковые культуры</t>
  </si>
  <si>
    <t>Чеснок</t>
  </si>
  <si>
    <t>Итого</t>
  </si>
  <si>
    <t>Из теплицы</t>
  </si>
  <si>
    <t>урожайность с м</t>
  </si>
  <si>
    <t>растений на м</t>
  </si>
  <si>
    <t>урожайность 1 раст</t>
  </si>
  <si>
    <t>чел с 1 м</t>
  </si>
  <si>
    <t>надо м</t>
  </si>
  <si>
    <t>доход с 1 м</t>
  </si>
  <si>
    <t>расходы 1 м</t>
  </si>
  <si>
    <t>Томат</t>
  </si>
  <si>
    <t>Томат красный</t>
  </si>
  <si>
    <t>Томат редких сортов</t>
  </si>
  <si>
    <t>Томат черри и ранний</t>
  </si>
  <si>
    <t>Огурец</t>
  </si>
  <si>
    <t>Огурцы короткие</t>
  </si>
  <si>
    <t>С грядок</t>
  </si>
  <si>
    <t>с 1 м2</t>
  </si>
  <si>
    <t>на 150</t>
  </si>
  <si>
    <t>Лук зеленый лето</t>
  </si>
  <si>
    <t>Лук зеленый батун, слизун, многоярусный и пр.</t>
  </si>
  <si>
    <t>Клубника</t>
  </si>
  <si>
    <t>Укроп</t>
  </si>
  <si>
    <t>Петрушка</t>
  </si>
  <si>
    <t>Салат</t>
  </si>
  <si>
    <t>Рукола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</si>
</sst>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 vertical="center"/>
    </xf>
    <xf numFmtId="4" fontId="26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164" fontId="35" fillId="0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164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4" fontId="0" fillId="35" borderId="12" xfId="0" applyNumberForma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4" fontId="0" fillId="35" borderId="13" xfId="0" applyNumberFormat="1" applyFill="1" applyBorder="1" applyAlignment="1">
      <alignment horizontal="center"/>
    </xf>
    <xf numFmtId="164" fontId="0" fillId="35" borderId="10" xfId="0" applyNumberFormat="1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35" borderId="10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86;&#1083;&#1093;&#1086;&#1079;\&#1082;&#1086;&#1083;&#1093;&#1086;&#1079;%20-%20&#1073;&#1102;&#1076;&#1078;&#1077;&#1090;%20&#1074;%20&#1076;&#1080;&#1085;&#1072;&#1084;&#1080;&#1082;&#1077;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86;&#1083;&#1093;&#1086;&#1079;\&#1055;&#1088;&#1086;&#1082;&#1086;&#1083;&#1093;&#1086;&#107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дост"/>
      <sheetName val="Пессим"/>
      <sheetName val="В динамике"/>
      <sheetName val="Прайс-Справочник"/>
      <sheetName val="Посадочный материал"/>
      <sheetName val="Бюджет в динамике"/>
      <sheetName val="Свод экон"/>
      <sheetName val="Лист1"/>
    </sheetNames>
    <definedNames>
      <definedName name="GDAI" sheetId="2" refersTo="=В динамике!$F$175"/>
      <definedName name="GKAB" sheetId="2" refersTo="=В динамике!$F$115"/>
      <definedName name="GKAP" sheetId="2" refersTo="=В динамике!$F$85"/>
      <definedName name="GKAR" sheetId="2" refersTo="=В динамике!$F$54"/>
      <definedName name="GSV" sheetId="2" refersTo="=В динамике!$F$147"/>
      <definedName name="GTOM" sheetId="2" refersTo="=В динамике!$F$205"/>
    </definedNames>
    <sheetDataSet>
      <sheetData sheetId="1">
        <row r="54">
          <cell r="F54">
            <v>3.7</v>
          </cell>
        </row>
        <row r="85">
          <cell r="F85">
            <v>1</v>
          </cell>
        </row>
        <row r="115">
          <cell r="F115">
            <v>0.25</v>
          </cell>
        </row>
        <row r="147">
          <cell r="F147">
            <v>2.2</v>
          </cell>
        </row>
        <row r="175">
          <cell r="F175">
            <v>0.3</v>
          </cell>
        </row>
        <row r="205">
          <cell r="F205">
            <v>750</v>
          </cell>
        </row>
      </sheetData>
      <sheetData sheetId="2">
        <row r="54">
          <cell r="F54">
            <v>3.75</v>
          </cell>
          <cell r="K54">
            <v>354750</v>
          </cell>
        </row>
        <row r="85">
          <cell r="F85">
            <v>1.175</v>
          </cell>
          <cell r="K85">
            <v>115267.5</v>
          </cell>
        </row>
        <row r="115">
          <cell r="F115">
            <v>0.4276190476190476</v>
          </cell>
          <cell r="K115">
            <v>38913.33333333333</v>
          </cell>
        </row>
        <row r="147">
          <cell r="F147">
            <v>2.2242063492063493</v>
          </cell>
          <cell r="K147">
            <v>88523.41269841269</v>
          </cell>
        </row>
        <row r="175">
          <cell r="F175">
            <v>0.8680555555555556</v>
          </cell>
          <cell r="K175">
            <v>27895.27777777778</v>
          </cell>
        </row>
        <row r="205">
          <cell r="F205">
            <v>866.6666666666667</v>
          </cell>
          <cell r="K205">
            <v>327933.3333333334</v>
          </cell>
        </row>
      </sheetData>
      <sheetData sheetId="4">
        <row r="54">
          <cell r="F54">
            <v>14950</v>
          </cell>
        </row>
      </sheetData>
      <sheetData sheetId="5">
        <row r="47">
          <cell r="C47">
            <v>3.7</v>
          </cell>
        </row>
        <row r="54">
          <cell r="F54">
            <v>1</v>
          </cell>
        </row>
        <row r="78">
          <cell r="C78">
            <v>1</v>
          </cell>
        </row>
        <row r="85">
          <cell r="F85">
            <v>1</v>
          </cell>
        </row>
        <row r="108">
          <cell r="C108">
            <v>0.25</v>
          </cell>
        </row>
        <row r="115">
          <cell r="F115">
            <v>1</v>
          </cell>
        </row>
        <row r="141">
          <cell r="C141">
            <v>2.2</v>
          </cell>
        </row>
        <row r="147">
          <cell r="F147">
            <v>1</v>
          </cell>
        </row>
        <row r="171">
          <cell r="C171">
            <v>0.3</v>
          </cell>
        </row>
        <row r="175">
          <cell r="F175">
            <v>2</v>
          </cell>
        </row>
        <row r="203">
          <cell r="C203">
            <v>750</v>
          </cell>
        </row>
        <row r="205">
          <cell r="F205">
            <v>1</v>
          </cell>
        </row>
        <row r="261">
          <cell r="C261">
            <v>0.25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Расчеты"/>
      <sheetName val="Расходы мини тр"/>
      <sheetName val="Расходы МТЗ80"/>
      <sheetName val="Одинак. расх."/>
      <sheetName val="Пакет услуг"/>
      <sheetName val="Разное"/>
    </sheetNames>
    <sheetDataSet>
      <sheetData sheetId="2">
        <row r="59">
          <cell r="G59">
            <v>36660</v>
          </cell>
        </row>
      </sheetData>
      <sheetData sheetId="3">
        <row r="60">
          <cell r="G60">
            <v>26500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3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F43" sqref="F43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10.421875" style="3" customWidth="1"/>
    <col min="4" max="4" width="6.28125" style="3" customWidth="1"/>
    <col min="5" max="5" width="7.57421875" style="3" customWidth="1"/>
    <col min="6" max="6" width="11.140625" style="4" customWidth="1"/>
    <col min="7" max="7" width="9.140625" style="3" customWidth="1"/>
    <col min="8" max="8" width="10.140625" style="5" customWidth="1"/>
    <col min="9" max="9" width="9.140625" style="3" customWidth="1"/>
    <col min="13" max="13" width="11.00390625" style="6" bestFit="1" customWidth="1"/>
    <col min="16" max="16" width="13.140625" style="7" customWidth="1"/>
  </cols>
  <sheetData>
    <row r="2" spans="2:4" ht="15">
      <c r="B2" s="1" t="s">
        <v>0</v>
      </c>
      <c r="C2" s="1">
        <v>150</v>
      </c>
      <c r="D2" s="2">
        <v>500</v>
      </c>
    </row>
    <row r="3" spans="2:13" s="8" customFormat="1" ht="15">
      <c r="B3" s="8" t="s">
        <v>1</v>
      </c>
      <c r="F3" s="9"/>
      <c r="H3" s="10"/>
      <c r="M3" s="11"/>
    </row>
    <row r="4" spans="2:18" ht="15">
      <c r="B4" s="12" t="s">
        <v>2</v>
      </c>
      <c r="C4" s="13" t="s">
        <v>3</v>
      </c>
      <c r="F4" s="14"/>
      <c r="J4" s="15" t="s">
        <v>4</v>
      </c>
      <c r="K4" s="15"/>
      <c r="L4" s="15"/>
      <c r="M4" s="16" t="s">
        <v>5</v>
      </c>
      <c r="N4" s="16"/>
      <c r="O4" s="16"/>
      <c r="R4" t="s">
        <v>6</v>
      </c>
    </row>
    <row r="5" spans="3:18" ht="27" customHeight="1">
      <c r="C5" s="17" t="s">
        <v>7</v>
      </c>
      <c r="D5" s="18" t="s">
        <v>8</v>
      </c>
      <c r="E5" s="18" t="s">
        <v>9</v>
      </c>
      <c r="F5" s="18" t="s">
        <v>10</v>
      </c>
      <c r="G5" s="19" t="s">
        <v>11</v>
      </c>
      <c r="H5" s="20" t="s">
        <v>12</v>
      </c>
      <c r="I5" s="18" t="s">
        <v>13</v>
      </c>
      <c r="J5" s="18" t="s">
        <v>14</v>
      </c>
      <c r="K5" s="18" t="s">
        <v>15</v>
      </c>
      <c r="L5" s="18" t="s">
        <v>16</v>
      </c>
      <c r="M5" s="21" t="s">
        <v>14</v>
      </c>
      <c r="N5" s="19" t="s">
        <v>15</v>
      </c>
      <c r="O5" s="19" t="s">
        <v>16</v>
      </c>
      <c r="P5" s="22" t="s">
        <v>17</v>
      </c>
      <c r="Q5" s="19" t="s">
        <v>18</v>
      </c>
      <c r="R5" s="19" t="s">
        <v>19</v>
      </c>
    </row>
    <row r="6" spans="1:16" ht="15">
      <c r="A6">
        <v>1</v>
      </c>
      <c r="B6" s="1" t="s">
        <v>20</v>
      </c>
      <c r="C6" s="23">
        <f>C7+C8</f>
        <v>140</v>
      </c>
      <c r="D6" s="2">
        <f>(C7*D7+C8*D8)/(C7+C8)</f>
        <v>16.428571428571427</v>
      </c>
      <c r="E6" s="2"/>
      <c r="F6" s="24"/>
      <c r="G6" s="2"/>
      <c r="H6" s="25"/>
      <c r="I6" s="2"/>
      <c r="J6" s="1">
        <f>J7+J8</f>
        <v>1.125</v>
      </c>
      <c r="K6" s="1"/>
      <c r="L6" s="1">
        <f>L7+L8</f>
        <v>21000</v>
      </c>
      <c r="M6" s="26">
        <f>M7+M8</f>
        <v>3.75</v>
      </c>
      <c r="N6" s="1"/>
      <c r="O6" s="1">
        <f>O7+O8</f>
        <v>70000</v>
      </c>
      <c r="P6" s="27"/>
    </row>
    <row r="7" spans="1:18" s="28" customFormat="1" ht="15">
      <c r="A7" s="28">
        <v>1</v>
      </c>
      <c r="B7" s="29" t="s">
        <v>21</v>
      </c>
      <c r="C7" s="23">
        <v>40</v>
      </c>
      <c r="D7" s="30">
        <v>20</v>
      </c>
      <c r="E7" s="23">
        <f>C7*D7</f>
        <v>800</v>
      </c>
      <c r="F7" s="31">
        <v>16000</v>
      </c>
      <c r="G7" s="30">
        <v>50000</v>
      </c>
      <c r="H7" s="32">
        <f>F7/G7</f>
        <v>0.32</v>
      </c>
      <c r="I7" s="30">
        <f>F7/C7</f>
        <v>400</v>
      </c>
      <c r="J7" s="29">
        <f>NK/I7</f>
        <v>0.375</v>
      </c>
      <c r="K7" s="29">
        <f>E7*NK</f>
        <v>120000</v>
      </c>
      <c r="L7" s="29">
        <f>C7*NK</f>
        <v>6000</v>
      </c>
      <c r="M7" s="33">
        <f>N2K/I7</f>
        <v>1.25</v>
      </c>
      <c r="N7" s="29">
        <f>E7*N2K</f>
        <v>400000</v>
      </c>
      <c r="O7" s="29">
        <f>C7*N2K</f>
        <v>20000</v>
      </c>
      <c r="P7" s="34">
        <f>F7*D7</f>
        <v>320000</v>
      </c>
      <c r="Q7" s="28">
        <f>'[1]В динамике'!K54/[1]!GKAR*1.2</f>
        <v>113520</v>
      </c>
      <c r="R7" s="35">
        <f>P7-Q7</f>
        <v>206480</v>
      </c>
    </row>
    <row r="8" spans="1:18" s="28" customFormat="1" ht="15">
      <c r="A8" s="28">
        <v>1</v>
      </c>
      <c r="B8" s="29" t="s">
        <v>22</v>
      </c>
      <c r="C8" s="23">
        <v>100</v>
      </c>
      <c r="D8" s="30">
        <v>15</v>
      </c>
      <c r="E8" s="23">
        <f>C8*D8</f>
        <v>1500</v>
      </c>
      <c r="F8" s="31">
        <v>20000</v>
      </c>
      <c r="G8" s="30">
        <v>50000</v>
      </c>
      <c r="H8" s="32">
        <f>F8/G8</f>
        <v>0.4</v>
      </c>
      <c r="I8" s="30">
        <f>F8/C8</f>
        <v>200</v>
      </c>
      <c r="J8" s="29">
        <f>NK/I8</f>
        <v>0.75</v>
      </c>
      <c r="K8" s="29">
        <f>E8*NK</f>
        <v>225000</v>
      </c>
      <c r="L8" s="29">
        <f>C8*NK</f>
        <v>15000</v>
      </c>
      <c r="M8" s="33">
        <f>N2K/I8</f>
        <v>2.5</v>
      </c>
      <c r="N8" s="29">
        <f>E8*N2K</f>
        <v>750000</v>
      </c>
      <c r="O8" s="29">
        <f>C8*N2K</f>
        <v>50000</v>
      </c>
      <c r="P8" s="34">
        <f aca="true" t="shared" si="0" ref="P8:P30">F8*D8</f>
        <v>300000</v>
      </c>
      <c r="Q8" s="28">
        <f>'[1]В динамике'!K54/[1]!GKAR</f>
        <v>94600</v>
      </c>
      <c r="R8" s="35">
        <f>P8-Q8</f>
        <v>205400</v>
      </c>
    </row>
    <row r="9" spans="1:16" s="36" customFormat="1" ht="15">
      <c r="A9" s="36">
        <v>1</v>
      </c>
      <c r="B9" s="37" t="s">
        <v>23</v>
      </c>
      <c r="C9" s="23">
        <f>C10+C11+C12+C13+C14</f>
        <v>56</v>
      </c>
      <c r="D9" s="38">
        <v>18</v>
      </c>
      <c r="E9" s="23"/>
      <c r="F9" s="39">
        <v>25000</v>
      </c>
      <c r="G9" s="38"/>
      <c r="H9" s="40"/>
      <c r="I9" s="38"/>
      <c r="J9" s="37">
        <f>J10+J11+J12+J13+J14</f>
        <v>0.35250000000000004</v>
      </c>
      <c r="K9" s="37"/>
      <c r="L9" s="37">
        <f>L10+L11+L12+L13+L14</f>
        <v>8400</v>
      </c>
      <c r="M9" s="26">
        <f>M10+M11+M12+M13+M14</f>
        <v>1.175</v>
      </c>
      <c r="N9" s="37"/>
      <c r="O9" s="37">
        <f>O10+O11+O12+O13+O14</f>
        <v>28000</v>
      </c>
      <c r="P9" s="34"/>
    </row>
    <row r="10" spans="2:18" s="28" customFormat="1" ht="15">
      <c r="B10" s="29" t="s">
        <v>24</v>
      </c>
      <c r="C10" s="23">
        <v>10</v>
      </c>
      <c r="D10" s="30">
        <v>30</v>
      </c>
      <c r="E10" s="23">
        <f>C10*D10</f>
        <v>300</v>
      </c>
      <c r="F10" s="31">
        <v>20000</v>
      </c>
      <c r="G10" s="30">
        <v>20000</v>
      </c>
      <c r="H10" s="32">
        <f>F10/G10</f>
        <v>1</v>
      </c>
      <c r="I10" s="30">
        <f>F10/C10</f>
        <v>2000</v>
      </c>
      <c r="J10" s="29">
        <f>NK/I10</f>
        <v>0.075</v>
      </c>
      <c r="K10" s="29">
        <f>E10*NK</f>
        <v>45000</v>
      </c>
      <c r="L10" s="29">
        <f>C10*NK</f>
        <v>1500</v>
      </c>
      <c r="M10" s="33">
        <f>N2K/I10</f>
        <v>0.25</v>
      </c>
      <c r="N10" s="29">
        <f>E10*N2K</f>
        <v>150000</v>
      </c>
      <c r="O10" s="29">
        <f>C10*N2K</f>
        <v>5000</v>
      </c>
      <c r="P10" s="34">
        <f>F10*D10</f>
        <v>600000</v>
      </c>
      <c r="Q10" s="28">
        <f>'[1]В динамике'!K85/[1]!GKAP*1.3</f>
        <v>127530</v>
      </c>
      <c r="R10" s="35">
        <f>P10-Q10</f>
        <v>472470</v>
      </c>
    </row>
    <row r="11" spans="2:18" s="28" customFormat="1" ht="15">
      <c r="B11" s="29" t="s">
        <v>25</v>
      </c>
      <c r="C11" s="23">
        <v>10</v>
      </c>
      <c r="D11" s="30">
        <v>20</v>
      </c>
      <c r="E11" s="23">
        <f>C11*D11</f>
        <v>200</v>
      </c>
      <c r="F11" s="31">
        <v>25000</v>
      </c>
      <c r="G11" s="30">
        <v>17000</v>
      </c>
      <c r="H11" s="32">
        <f aca="true" t="shared" si="1" ref="H11:H30">F11/G11</f>
        <v>1.4705882352941178</v>
      </c>
      <c r="I11" s="30">
        <f>F11/C11</f>
        <v>2500</v>
      </c>
      <c r="J11" s="29">
        <f>NK/I11</f>
        <v>0.06</v>
      </c>
      <c r="K11" s="29">
        <f>E11*NK</f>
        <v>30000</v>
      </c>
      <c r="L11" s="29">
        <f>C11*NK</f>
        <v>1500</v>
      </c>
      <c r="M11" s="33">
        <f>N2K/I11</f>
        <v>0.2</v>
      </c>
      <c r="N11" s="29">
        <f>E11*N2K</f>
        <v>100000</v>
      </c>
      <c r="O11" s="29">
        <f>C11*N2K</f>
        <v>5000</v>
      </c>
      <c r="P11" s="34">
        <f t="shared" si="0"/>
        <v>500000</v>
      </c>
      <c r="Q11" s="28">
        <f>'[1]В динамике'!K85/[1]!GKAP</f>
        <v>98100</v>
      </c>
      <c r="R11" s="35">
        <f aca="true" t="shared" si="2" ref="R11:R25">P11-Q11</f>
        <v>401900</v>
      </c>
    </row>
    <row r="12" spans="2:18" s="28" customFormat="1" ht="15">
      <c r="B12" s="29" t="s">
        <v>26</v>
      </c>
      <c r="C12" s="23">
        <v>30</v>
      </c>
      <c r="D12" s="30">
        <v>15</v>
      </c>
      <c r="E12" s="23">
        <f>C12*D12</f>
        <v>450</v>
      </c>
      <c r="F12" s="31">
        <v>30000</v>
      </c>
      <c r="G12" s="30">
        <v>15000</v>
      </c>
      <c r="H12" s="32">
        <f t="shared" si="1"/>
        <v>2</v>
      </c>
      <c r="I12" s="30">
        <f>F12/C12</f>
        <v>1000</v>
      </c>
      <c r="J12" s="29">
        <f>NK/I12</f>
        <v>0.15</v>
      </c>
      <c r="K12" s="29">
        <f>E12*NK</f>
        <v>67500</v>
      </c>
      <c r="L12" s="29">
        <f>C12*NK</f>
        <v>4500</v>
      </c>
      <c r="M12" s="33">
        <f>N2K/I12</f>
        <v>0.5</v>
      </c>
      <c r="N12" s="29">
        <f>E12*N2K</f>
        <v>225000</v>
      </c>
      <c r="O12" s="29">
        <f>C12*N2K</f>
        <v>15000</v>
      </c>
      <c r="P12" s="34">
        <f t="shared" si="0"/>
        <v>450000</v>
      </c>
      <c r="Q12" s="28">
        <f>Q11</f>
        <v>98100</v>
      </c>
      <c r="R12" s="35">
        <f t="shared" si="2"/>
        <v>351900</v>
      </c>
    </row>
    <row r="13" spans="2:18" s="28" customFormat="1" ht="15">
      <c r="B13" s="29" t="s">
        <v>27</v>
      </c>
      <c r="C13" s="23">
        <v>4</v>
      </c>
      <c r="D13" s="30">
        <v>25</v>
      </c>
      <c r="E13" s="23">
        <f>C13*D13</f>
        <v>100</v>
      </c>
      <c r="F13" s="31">
        <v>20000</v>
      </c>
      <c r="G13" s="30">
        <v>17000</v>
      </c>
      <c r="H13" s="32">
        <f t="shared" si="1"/>
        <v>1.1764705882352942</v>
      </c>
      <c r="I13" s="30">
        <f>F13/C13</f>
        <v>5000</v>
      </c>
      <c r="J13" s="29">
        <f>NK/I13</f>
        <v>0.03</v>
      </c>
      <c r="K13" s="29">
        <f>E13*NK</f>
        <v>15000</v>
      </c>
      <c r="L13" s="29">
        <f>C13*NK</f>
        <v>600</v>
      </c>
      <c r="M13" s="33">
        <f>N2K/I13</f>
        <v>0.1</v>
      </c>
      <c r="N13" s="29">
        <f>E13*N2K</f>
        <v>50000</v>
      </c>
      <c r="O13" s="29">
        <f>C13*N2K</f>
        <v>2000</v>
      </c>
      <c r="P13" s="34">
        <f t="shared" si="0"/>
        <v>500000</v>
      </c>
      <c r="Q13" s="28">
        <f>Q12</f>
        <v>98100</v>
      </c>
      <c r="R13" s="35">
        <f t="shared" si="2"/>
        <v>401900</v>
      </c>
    </row>
    <row r="14" spans="2:18" s="28" customFormat="1" ht="15">
      <c r="B14" s="29" t="s">
        <v>28</v>
      </c>
      <c r="C14" s="23">
        <v>2</v>
      </c>
      <c r="D14" s="30">
        <v>60</v>
      </c>
      <c r="E14" s="23">
        <f>C14*D14</f>
        <v>120</v>
      </c>
      <c r="F14" s="31">
        <v>8000</v>
      </c>
      <c r="G14" s="30">
        <v>20000</v>
      </c>
      <c r="H14" s="32">
        <f t="shared" si="1"/>
        <v>0.4</v>
      </c>
      <c r="I14" s="30">
        <f>F14/C14</f>
        <v>4000</v>
      </c>
      <c r="J14" s="29">
        <f>NK/I14</f>
        <v>0.0375</v>
      </c>
      <c r="K14" s="29">
        <f>E14*NK</f>
        <v>18000</v>
      </c>
      <c r="L14" s="29">
        <f>C14*NK</f>
        <v>300</v>
      </c>
      <c r="M14" s="33">
        <f>N2K/I14</f>
        <v>0.125</v>
      </c>
      <c r="N14" s="29">
        <f>E14*N2K</f>
        <v>60000</v>
      </c>
      <c r="O14" s="29">
        <f>C14*N2K</f>
        <v>1000</v>
      </c>
      <c r="P14" s="34">
        <f t="shared" si="0"/>
        <v>480000</v>
      </c>
      <c r="Q14" s="28">
        <f>Q11</f>
        <v>98100</v>
      </c>
      <c r="R14" s="35">
        <f t="shared" si="2"/>
        <v>381900</v>
      </c>
    </row>
    <row r="15" spans="1:18" s="36" customFormat="1" ht="15">
      <c r="A15" s="36">
        <v>1</v>
      </c>
      <c r="B15" s="37" t="s">
        <v>29</v>
      </c>
      <c r="C15" s="23">
        <f>C16+C17+C18+C19+C20</f>
        <v>27</v>
      </c>
      <c r="D15" s="38">
        <v>15</v>
      </c>
      <c r="E15" s="23"/>
      <c r="F15" s="39">
        <v>35000</v>
      </c>
      <c r="G15" s="38"/>
      <c r="H15" s="40"/>
      <c r="I15" s="38"/>
      <c r="J15" s="37">
        <f>J16+J17+J18+J19+J20</f>
        <v>0.12828571428571428</v>
      </c>
      <c r="K15" s="37"/>
      <c r="L15" s="37">
        <f>L16+L17+L18+L19+L20</f>
        <v>4050</v>
      </c>
      <c r="M15" s="26">
        <f>M16+M17+M18+M19+M20</f>
        <v>0.4276190476190476</v>
      </c>
      <c r="N15" s="37"/>
      <c r="O15" s="37">
        <f>O16+O17+O18+O19+O20</f>
        <v>13500</v>
      </c>
      <c r="P15" s="34"/>
      <c r="R15" s="35"/>
    </row>
    <row r="16" spans="2:18" s="28" customFormat="1" ht="15">
      <c r="B16" s="29" t="s">
        <v>30</v>
      </c>
      <c r="C16" s="23">
        <v>8</v>
      </c>
      <c r="D16" s="30">
        <v>18</v>
      </c>
      <c r="E16" s="23">
        <f>C16*D16</f>
        <v>144</v>
      </c>
      <c r="F16" s="31">
        <v>35000</v>
      </c>
      <c r="G16" s="30">
        <v>10000</v>
      </c>
      <c r="H16" s="32">
        <f t="shared" si="1"/>
        <v>3.5</v>
      </c>
      <c r="I16" s="30">
        <f>F16/C16</f>
        <v>4375</v>
      </c>
      <c r="J16" s="29">
        <f>NK/I16</f>
        <v>0.03428571428571429</v>
      </c>
      <c r="K16" s="29">
        <f>E16*NK</f>
        <v>21600</v>
      </c>
      <c r="L16" s="29">
        <f>C16*NK</f>
        <v>1200</v>
      </c>
      <c r="M16" s="33">
        <f>N2K/I16</f>
        <v>0.11428571428571428</v>
      </c>
      <c r="N16" s="29">
        <f>E16*N2K</f>
        <v>72000</v>
      </c>
      <c r="O16" s="29">
        <f>C16*N2K</f>
        <v>4000</v>
      </c>
      <c r="P16" s="34">
        <f t="shared" si="0"/>
        <v>630000</v>
      </c>
      <c r="Q16" s="28">
        <f>'[1]В динамике'!K115/[1]!GKAB*1.2</f>
        <v>109199.99999999999</v>
      </c>
      <c r="R16" s="35">
        <f t="shared" si="2"/>
        <v>520800</v>
      </c>
    </row>
    <row r="17" spans="2:18" s="28" customFormat="1" ht="15">
      <c r="B17" s="29" t="s">
        <v>31</v>
      </c>
      <c r="C17" s="23">
        <v>8</v>
      </c>
      <c r="D17" s="30">
        <v>12</v>
      </c>
      <c r="E17" s="23">
        <f>C17*D17</f>
        <v>96</v>
      </c>
      <c r="F17" s="31">
        <v>40000</v>
      </c>
      <c r="G17" s="30">
        <v>10000</v>
      </c>
      <c r="H17" s="32">
        <f t="shared" si="1"/>
        <v>4</v>
      </c>
      <c r="I17" s="30">
        <f>F17/C17</f>
        <v>5000</v>
      </c>
      <c r="J17" s="29">
        <f>NK/I17</f>
        <v>0.03</v>
      </c>
      <c r="K17" s="29">
        <f>E17*NK</f>
        <v>14400</v>
      </c>
      <c r="L17" s="29">
        <f>C17*NK</f>
        <v>1200</v>
      </c>
      <c r="M17" s="33">
        <f>N2K/I17</f>
        <v>0.1</v>
      </c>
      <c r="N17" s="29">
        <f>E17*N2K</f>
        <v>48000</v>
      </c>
      <c r="O17" s="29">
        <f>C17*N2K</f>
        <v>4000</v>
      </c>
      <c r="P17" s="34">
        <f t="shared" si="0"/>
        <v>480000</v>
      </c>
      <c r="Q17" s="28">
        <f>'[1]В динамике'!K115/[1]!GKAB</f>
        <v>90999.99999999999</v>
      </c>
      <c r="R17" s="35">
        <f t="shared" si="2"/>
        <v>389000</v>
      </c>
    </row>
    <row r="18" spans="2:18" s="28" customFormat="1" ht="15">
      <c r="B18" s="29" t="s">
        <v>32</v>
      </c>
      <c r="C18" s="23">
        <v>4</v>
      </c>
      <c r="D18" s="30">
        <v>18</v>
      </c>
      <c r="E18" s="23">
        <f>C18*D18</f>
        <v>72</v>
      </c>
      <c r="F18" s="31">
        <v>25000</v>
      </c>
      <c r="G18" s="30">
        <v>10000</v>
      </c>
      <c r="H18" s="32">
        <f t="shared" si="1"/>
        <v>2.5</v>
      </c>
      <c r="I18" s="30">
        <f>F18/C18</f>
        <v>6250</v>
      </c>
      <c r="J18" s="29">
        <f>NK/I18</f>
        <v>0.024</v>
      </c>
      <c r="K18" s="29">
        <f>E18*NK</f>
        <v>10800</v>
      </c>
      <c r="L18" s="29">
        <f>C18*NK</f>
        <v>600</v>
      </c>
      <c r="M18" s="33">
        <f>N2K/I18</f>
        <v>0.08</v>
      </c>
      <c r="N18" s="29">
        <f>E18*N2K</f>
        <v>36000</v>
      </c>
      <c r="O18" s="29">
        <f>C18*N2K</f>
        <v>2000</v>
      </c>
      <c r="P18" s="34">
        <f t="shared" si="0"/>
        <v>450000</v>
      </c>
      <c r="Q18" s="28">
        <f>Q17</f>
        <v>90999.99999999999</v>
      </c>
      <c r="R18" s="35">
        <f t="shared" si="2"/>
        <v>359000</v>
      </c>
    </row>
    <row r="19" spans="2:18" s="28" customFormat="1" ht="15">
      <c r="B19" s="29" t="s">
        <v>33</v>
      </c>
      <c r="C19" s="23">
        <v>5</v>
      </c>
      <c r="D19" s="30">
        <v>15</v>
      </c>
      <c r="E19" s="23">
        <f>C19*D19</f>
        <v>75</v>
      </c>
      <c r="F19" s="31">
        <v>30000</v>
      </c>
      <c r="G19" s="30">
        <v>8000</v>
      </c>
      <c r="H19" s="32">
        <f t="shared" si="1"/>
        <v>3.75</v>
      </c>
      <c r="I19" s="30">
        <f>F19/C19</f>
        <v>6000</v>
      </c>
      <c r="J19" s="29">
        <f>NK/I19</f>
        <v>0.025</v>
      </c>
      <c r="K19" s="29">
        <f>E19*NK</f>
        <v>11250</v>
      </c>
      <c r="L19" s="29">
        <f>C19*NK</f>
        <v>750</v>
      </c>
      <c r="M19" s="33">
        <f>N2K/I19</f>
        <v>0.08333333333333333</v>
      </c>
      <c r="N19" s="29">
        <f>E19*N2K</f>
        <v>37500</v>
      </c>
      <c r="O19" s="29">
        <f>C19*N2K</f>
        <v>2500</v>
      </c>
      <c r="P19" s="34">
        <f t="shared" si="0"/>
        <v>450000</v>
      </c>
      <c r="Q19" s="28">
        <f>Q18</f>
        <v>90999.99999999999</v>
      </c>
      <c r="R19" s="35">
        <f t="shared" si="2"/>
        <v>359000</v>
      </c>
    </row>
    <row r="20" spans="2:18" s="28" customFormat="1" ht="15">
      <c r="B20" s="29" t="s">
        <v>34</v>
      </c>
      <c r="C20" s="23">
        <v>2</v>
      </c>
      <c r="D20" s="30">
        <v>25</v>
      </c>
      <c r="E20" s="23">
        <f>C20*D20</f>
        <v>50</v>
      </c>
      <c r="F20" s="31">
        <v>20000</v>
      </c>
      <c r="G20" s="30">
        <v>10000</v>
      </c>
      <c r="H20" s="32">
        <f t="shared" si="1"/>
        <v>2</v>
      </c>
      <c r="I20" s="30">
        <f>F20/C20</f>
        <v>10000</v>
      </c>
      <c r="J20" s="29">
        <f>NK/I20</f>
        <v>0.015</v>
      </c>
      <c r="K20" s="29">
        <f>E20*NK</f>
        <v>7500</v>
      </c>
      <c r="L20" s="29">
        <f>C20*NK</f>
        <v>300</v>
      </c>
      <c r="M20" s="33">
        <f>N2K/I20</f>
        <v>0.05</v>
      </c>
      <c r="N20" s="29">
        <f>E20*N2K</f>
        <v>25000</v>
      </c>
      <c r="O20" s="29">
        <f>C20*N2K</f>
        <v>1000</v>
      </c>
      <c r="P20" s="34">
        <f t="shared" si="0"/>
        <v>500000</v>
      </c>
      <c r="Q20" s="28">
        <f>Q16</f>
        <v>109199.99999999999</v>
      </c>
      <c r="R20" s="35">
        <f t="shared" si="2"/>
        <v>390800</v>
      </c>
    </row>
    <row r="21" spans="1:18" s="36" customFormat="1" ht="15">
      <c r="A21" s="36">
        <v>1</v>
      </c>
      <c r="B21" s="41" t="s">
        <v>35</v>
      </c>
      <c r="C21" s="42">
        <f>C22+C23+C24+C25</f>
        <v>70</v>
      </c>
      <c r="D21" s="43">
        <v>21</v>
      </c>
      <c r="E21" s="42"/>
      <c r="F21" s="44">
        <v>16000</v>
      </c>
      <c r="G21" s="45"/>
      <c r="H21" s="46"/>
      <c r="I21" s="45"/>
      <c r="J21" s="37">
        <f>J22+J23+J24+J25</f>
        <v>0.6672619047619047</v>
      </c>
      <c r="K21" s="37"/>
      <c r="L21" s="37">
        <f>L22+L23+L24+L25</f>
        <v>10500</v>
      </c>
      <c r="M21" s="26">
        <f>M22+M23+M24+M25</f>
        <v>2.2242063492063493</v>
      </c>
      <c r="N21" s="37"/>
      <c r="O21" s="37">
        <f>O22+O23+O24+O25</f>
        <v>35000</v>
      </c>
      <c r="P21" s="34"/>
      <c r="R21" s="35"/>
    </row>
    <row r="22" spans="1:18" s="28" customFormat="1" ht="15">
      <c r="A22" s="28">
        <v>1</v>
      </c>
      <c r="B22" s="47" t="s">
        <v>36</v>
      </c>
      <c r="C22" s="42">
        <v>20</v>
      </c>
      <c r="D22" s="48">
        <v>20</v>
      </c>
      <c r="E22" s="42">
        <f aca="true" t="shared" si="3" ref="E22:E30">C22*D22</f>
        <v>400</v>
      </c>
      <c r="F22" s="49">
        <v>16000</v>
      </c>
      <c r="G22" s="30">
        <v>10000</v>
      </c>
      <c r="H22" s="32">
        <f t="shared" si="1"/>
        <v>1.6</v>
      </c>
      <c r="I22" s="30">
        <f>F22/C22</f>
        <v>800</v>
      </c>
      <c r="J22" s="29">
        <f>NK/I22</f>
        <v>0.1875</v>
      </c>
      <c r="K22" s="29">
        <f>E22*NK</f>
        <v>60000</v>
      </c>
      <c r="L22" s="29">
        <f>C22*NK</f>
        <v>3000</v>
      </c>
      <c r="M22" s="33">
        <f>N2K/I22</f>
        <v>0.625</v>
      </c>
      <c r="N22" s="29">
        <f>E22*N2K</f>
        <v>200000</v>
      </c>
      <c r="O22" s="29">
        <f>C22*N2K</f>
        <v>10000</v>
      </c>
      <c r="P22" s="34">
        <f t="shared" si="0"/>
        <v>320000</v>
      </c>
      <c r="Q22" s="28">
        <f>'[1]В динамике'!K147/[1]!GSV</f>
        <v>39799.99999999999</v>
      </c>
      <c r="R22" s="35">
        <f t="shared" si="2"/>
        <v>280200</v>
      </c>
    </row>
    <row r="23" spans="1:18" s="28" customFormat="1" ht="15">
      <c r="A23" s="28">
        <v>1</v>
      </c>
      <c r="B23" s="29" t="s">
        <v>37</v>
      </c>
      <c r="C23" s="23">
        <v>30</v>
      </c>
      <c r="D23" s="30">
        <v>25</v>
      </c>
      <c r="E23" s="23">
        <f t="shared" si="3"/>
        <v>750</v>
      </c>
      <c r="F23" s="31">
        <v>14000</v>
      </c>
      <c r="G23" s="30">
        <v>10000</v>
      </c>
      <c r="H23" s="32">
        <f t="shared" si="1"/>
        <v>1.4</v>
      </c>
      <c r="I23" s="30">
        <f>F23/C23</f>
        <v>466.6666666666667</v>
      </c>
      <c r="J23" s="29">
        <f>NK/I23</f>
        <v>0.3214285714285714</v>
      </c>
      <c r="K23" s="29">
        <f>E23*NK</f>
        <v>112500</v>
      </c>
      <c r="L23" s="29">
        <f>C23*NK</f>
        <v>4500</v>
      </c>
      <c r="M23" s="33">
        <f>N2K/I23</f>
        <v>1.0714285714285714</v>
      </c>
      <c r="N23" s="29">
        <f>E23*N2K</f>
        <v>375000</v>
      </c>
      <c r="O23" s="29">
        <f>C23*N2K</f>
        <v>15000</v>
      </c>
      <c r="P23" s="34">
        <f t="shared" si="0"/>
        <v>350000</v>
      </c>
      <c r="Q23" s="28">
        <f>Q22</f>
        <v>39799.99999999999</v>
      </c>
      <c r="R23" s="35">
        <f t="shared" si="2"/>
        <v>310200</v>
      </c>
    </row>
    <row r="24" spans="1:18" s="28" customFormat="1" ht="15">
      <c r="A24" s="28">
        <v>1</v>
      </c>
      <c r="B24" s="29" t="s">
        <v>38</v>
      </c>
      <c r="C24" s="23">
        <v>10</v>
      </c>
      <c r="D24" s="30">
        <v>20</v>
      </c>
      <c r="E24" s="23">
        <f t="shared" si="3"/>
        <v>200</v>
      </c>
      <c r="F24" s="31">
        <v>20000</v>
      </c>
      <c r="G24" s="30">
        <v>10000</v>
      </c>
      <c r="H24" s="32">
        <f t="shared" si="1"/>
        <v>2</v>
      </c>
      <c r="I24" s="30">
        <f>F24/C24</f>
        <v>2000</v>
      </c>
      <c r="J24" s="29">
        <f>NK/I24</f>
        <v>0.075</v>
      </c>
      <c r="K24" s="29">
        <f>E24*NK</f>
        <v>30000</v>
      </c>
      <c r="L24" s="29">
        <f>C24*NK</f>
        <v>1500</v>
      </c>
      <c r="M24" s="33">
        <f>N2K/I24</f>
        <v>0.25</v>
      </c>
      <c r="N24" s="29">
        <f>E24*N2K</f>
        <v>100000</v>
      </c>
      <c r="O24" s="29">
        <f>C24*N2K</f>
        <v>5000</v>
      </c>
      <c r="P24" s="34">
        <f t="shared" si="0"/>
        <v>400000</v>
      </c>
      <c r="Q24" s="28">
        <f>Q22</f>
        <v>39799.99999999999</v>
      </c>
      <c r="R24" s="35">
        <f t="shared" si="2"/>
        <v>360200</v>
      </c>
    </row>
    <row r="25" spans="1:18" s="28" customFormat="1" ht="15">
      <c r="A25" s="28">
        <v>1</v>
      </c>
      <c r="B25" s="29" t="s">
        <v>39</v>
      </c>
      <c r="C25" s="23">
        <v>10</v>
      </c>
      <c r="D25" s="30">
        <v>20</v>
      </c>
      <c r="E25" s="23">
        <f t="shared" si="3"/>
        <v>200</v>
      </c>
      <c r="F25" s="31">
        <v>18000</v>
      </c>
      <c r="G25" s="30">
        <v>10000</v>
      </c>
      <c r="H25" s="32">
        <f t="shared" si="1"/>
        <v>1.8</v>
      </c>
      <c r="I25" s="30">
        <f>F25/C25</f>
        <v>1800</v>
      </c>
      <c r="J25" s="29">
        <f>NK/I25</f>
        <v>0.08333333333333333</v>
      </c>
      <c r="K25" s="29">
        <f>E25*NK</f>
        <v>30000</v>
      </c>
      <c r="L25" s="29">
        <f>C25*NK</f>
        <v>1500</v>
      </c>
      <c r="M25" s="33">
        <f>N2K/I25</f>
        <v>0.2777777777777778</v>
      </c>
      <c r="N25" s="29">
        <f>E25*N2K</f>
        <v>100000</v>
      </c>
      <c r="O25" s="29">
        <f>C25*N2K</f>
        <v>5000</v>
      </c>
      <c r="P25" s="34">
        <f t="shared" si="0"/>
        <v>360000</v>
      </c>
      <c r="Q25" s="28">
        <f>Q22</f>
        <v>39799.99999999999</v>
      </c>
      <c r="R25" s="35">
        <f t="shared" si="2"/>
        <v>320200</v>
      </c>
    </row>
    <row r="26" spans="1:16" s="36" customFormat="1" ht="15">
      <c r="A26" s="36">
        <v>1</v>
      </c>
      <c r="B26" s="37" t="s">
        <v>40</v>
      </c>
      <c r="C26" s="23">
        <f>C27+C28</f>
        <v>30</v>
      </c>
      <c r="D26" s="38">
        <v>20</v>
      </c>
      <c r="E26" s="23"/>
      <c r="F26" s="39">
        <v>16000</v>
      </c>
      <c r="G26" s="45"/>
      <c r="H26" s="50"/>
      <c r="I26" s="45"/>
      <c r="J26" s="37">
        <f>J27+J28</f>
        <v>0.26041666666666663</v>
      </c>
      <c r="K26" s="37"/>
      <c r="L26" s="37">
        <f>L27+L28</f>
        <v>4500</v>
      </c>
      <c r="M26" s="51">
        <f>M27+M28</f>
        <v>0.8680555555555556</v>
      </c>
      <c r="N26" s="37"/>
      <c r="O26" s="37">
        <f>O27+O28</f>
        <v>15000</v>
      </c>
      <c r="P26" s="34"/>
    </row>
    <row r="27" spans="1:18" s="28" customFormat="1" ht="15">
      <c r="A27" s="28">
        <v>1</v>
      </c>
      <c r="B27" s="29" t="s">
        <v>41</v>
      </c>
      <c r="C27" s="23">
        <v>10</v>
      </c>
      <c r="D27" s="30">
        <v>20</v>
      </c>
      <c r="E27" s="23">
        <f>C27*D27</f>
        <v>200</v>
      </c>
      <c r="F27" s="31">
        <v>16000</v>
      </c>
      <c r="G27" s="30">
        <v>10000</v>
      </c>
      <c r="H27" s="32">
        <f t="shared" si="1"/>
        <v>1.6</v>
      </c>
      <c r="I27" s="30">
        <f>F27/C27</f>
        <v>1600</v>
      </c>
      <c r="J27" s="29">
        <f>NK/I27</f>
        <v>0.09375</v>
      </c>
      <c r="K27" s="29">
        <f>E27*NK</f>
        <v>30000</v>
      </c>
      <c r="L27" s="29">
        <f>C27*NK</f>
        <v>1500</v>
      </c>
      <c r="M27" s="33">
        <f>N2K/I27</f>
        <v>0.3125</v>
      </c>
      <c r="N27" s="29">
        <f>E27*N2K</f>
        <v>100000</v>
      </c>
      <c r="O27" s="29">
        <f>C27*N2K</f>
        <v>5000</v>
      </c>
      <c r="P27" s="34">
        <f t="shared" si="0"/>
        <v>320000</v>
      </c>
      <c r="Q27" s="28">
        <f>'[1]В динамике'!K175/[1]!GDAI</f>
        <v>32135.360000000004</v>
      </c>
      <c r="R27" s="35">
        <f>P27-Q27</f>
        <v>287864.64</v>
      </c>
    </row>
    <row r="28" spans="1:18" s="28" customFormat="1" ht="15">
      <c r="A28" s="28">
        <v>1</v>
      </c>
      <c r="B28" s="29" t="s">
        <v>42</v>
      </c>
      <c r="C28" s="23">
        <v>20</v>
      </c>
      <c r="D28" s="30">
        <v>20</v>
      </c>
      <c r="E28" s="23">
        <f t="shared" si="3"/>
        <v>400</v>
      </c>
      <c r="F28" s="31">
        <v>18000</v>
      </c>
      <c r="G28" s="30">
        <v>10000</v>
      </c>
      <c r="H28" s="32">
        <f t="shared" si="1"/>
        <v>1.8</v>
      </c>
      <c r="I28" s="30">
        <f>F28/C28</f>
        <v>900</v>
      </c>
      <c r="J28" s="29">
        <f>NK/I28</f>
        <v>0.16666666666666666</v>
      </c>
      <c r="K28" s="29">
        <f>E28*NK</f>
        <v>60000</v>
      </c>
      <c r="L28" s="29">
        <f>C28*NK</f>
        <v>3000</v>
      </c>
      <c r="M28" s="33">
        <f>N2K/I28</f>
        <v>0.5555555555555556</v>
      </c>
      <c r="N28" s="29">
        <f>E28*N2K</f>
        <v>200000</v>
      </c>
      <c r="O28" s="29">
        <f>C28*N2K</f>
        <v>10000</v>
      </c>
      <c r="P28" s="34">
        <f t="shared" si="0"/>
        <v>360000</v>
      </c>
      <c r="Q28" s="28">
        <f>Q27</f>
        <v>32135.360000000004</v>
      </c>
      <c r="R28" s="35">
        <f>P28-Q28</f>
        <v>327864.64</v>
      </c>
    </row>
    <row r="29" spans="2:16" s="36" customFormat="1" ht="15">
      <c r="B29" s="37" t="s">
        <v>43</v>
      </c>
      <c r="C29" s="23">
        <f>C30</f>
        <v>5</v>
      </c>
      <c r="D29" s="38"/>
      <c r="E29" s="23"/>
      <c r="F29" s="52"/>
      <c r="G29" s="53"/>
      <c r="H29" s="50"/>
      <c r="I29" s="45"/>
      <c r="J29" s="37">
        <f>J30</f>
        <v>0.09375</v>
      </c>
      <c r="K29" s="37"/>
      <c r="L29" s="37">
        <f>L30</f>
        <v>750</v>
      </c>
      <c r="M29" s="26">
        <f>M30</f>
        <v>0.3125</v>
      </c>
      <c r="N29" s="37"/>
      <c r="O29" s="37">
        <f>O30</f>
        <v>2500</v>
      </c>
      <c r="P29" s="34"/>
    </row>
    <row r="30" spans="1:16" s="28" customFormat="1" ht="15">
      <c r="A30" s="28">
        <v>1</v>
      </c>
      <c r="B30" s="54" t="s">
        <v>44</v>
      </c>
      <c r="C30" s="55">
        <v>5</v>
      </c>
      <c r="D30" s="30">
        <v>60</v>
      </c>
      <c r="E30" s="23">
        <f t="shared" si="3"/>
        <v>300</v>
      </c>
      <c r="F30" s="31">
        <v>8000</v>
      </c>
      <c r="G30" s="30">
        <v>10000</v>
      </c>
      <c r="H30" s="32">
        <f t="shared" si="1"/>
        <v>0.8</v>
      </c>
      <c r="I30" s="30">
        <f>F30/C30</f>
        <v>1600</v>
      </c>
      <c r="J30" s="29">
        <f>NK/I30</f>
        <v>0.09375</v>
      </c>
      <c r="K30" s="29">
        <f>E30*NK</f>
        <v>45000</v>
      </c>
      <c r="L30" s="29">
        <f>C30*NK</f>
        <v>750</v>
      </c>
      <c r="M30" s="33">
        <f>N2K/I30</f>
        <v>0.3125</v>
      </c>
      <c r="N30" s="29">
        <f>E30*N2K</f>
        <v>150000</v>
      </c>
      <c r="O30" s="29">
        <f>C30*N2K</f>
        <v>2500</v>
      </c>
      <c r="P30" s="34">
        <f t="shared" si="0"/>
        <v>480000</v>
      </c>
    </row>
    <row r="31" spans="1:15" ht="15">
      <c r="A31" s="56"/>
      <c r="B31" s="56" t="s">
        <v>45</v>
      </c>
      <c r="C31" s="23">
        <f>C6+C9+C15+C21+C26+C29</f>
        <v>328</v>
      </c>
      <c r="D31" s="57"/>
      <c r="E31" s="42">
        <f>SUM(E6:E30)</f>
        <v>6357</v>
      </c>
      <c r="F31" s="58"/>
      <c r="J31" s="1">
        <f>J6+J9+J15+J21+J26+J29</f>
        <v>2.6272142857142855</v>
      </c>
      <c r="K31" s="59">
        <f>SUM(K7:K30)</f>
        <v>953550</v>
      </c>
      <c r="L31" s="59">
        <f>L6+L9+L15+L21+L26+L29</f>
        <v>49200</v>
      </c>
      <c r="M31" s="60">
        <f>M6+M9+M15+M21+M26+M29</f>
        <v>8.757380952380952</v>
      </c>
      <c r="N31" s="59">
        <f>SUM(N6:N30)</f>
        <v>3178500</v>
      </c>
      <c r="O31" s="59">
        <f>O6+O9+O15+O21+O26+O29</f>
        <v>164000</v>
      </c>
    </row>
    <row r="32" ht="15">
      <c r="P32" s="7" t="e">
        <f>J32*NU</f>
        <v>#REF!</v>
      </c>
    </row>
    <row r="33" spans="2:18" ht="15">
      <c r="B33" s="12" t="s">
        <v>46</v>
      </c>
      <c r="C33" s="13"/>
      <c r="F33" s="14"/>
      <c r="J33" s="15" t="s">
        <v>4</v>
      </c>
      <c r="K33" s="15"/>
      <c r="L33" s="15"/>
      <c r="M33" s="16" t="s">
        <v>5</v>
      </c>
      <c r="N33" s="16"/>
      <c r="O33" s="16"/>
      <c r="R33" t="s">
        <v>6</v>
      </c>
    </row>
    <row r="34" spans="3:18" ht="27" customHeight="1">
      <c r="C34" s="18" t="s">
        <v>7</v>
      </c>
      <c r="D34" s="18" t="s">
        <v>8</v>
      </c>
      <c r="E34" s="18" t="s">
        <v>9</v>
      </c>
      <c r="F34" s="18" t="s">
        <v>47</v>
      </c>
      <c r="G34" s="19" t="s">
        <v>48</v>
      </c>
      <c r="H34" s="20" t="s">
        <v>49</v>
      </c>
      <c r="I34" s="18" t="s">
        <v>50</v>
      </c>
      <c r="J34" s="18" t="s">
        <v>51</v>
      </c>
      <c r="K34" s="18" t="s">
        <v>15</v>
      </c>
      <c r="L34" s="18" t="s">
        <v>16</v>
      </c>
      <c r="M34" s="21" t="s">
        <v>51</v>
      </c>
      <c r="N34" s="19" t="s">
        <v>15</v>
      </c>
      <c r="O34" s="19" t="s">
        <v>16</v>
      </c>
      <c r="P34" s="22" t="s">
        <v>52</v>
      </c>
      <c r="Q34" s="19" t="s">
        <v>53</v>
      </c>
      <c r="R34" s="19" t="s">
        <v>19</v>
      </c>
    </row>
    <row r="35" spans="1:16" ht="15">
      <c r="A35">
        <v>1</v>
      </c>
      <c r="B35" s="1" t="s">
        <v>54</v>
      </c>
      <c r="C35" s="2">
        <f>C36+C37+C38</f>
        <v>30</v>
      </c>
      <c r="D35" s="2"/>
      <c r="E35" s="2"/>
      <c r="F35" s="24"/>
      <c r="G35" s="2"/>
      <c r="H35" s="25"/>
      <c r="I35" s="2"/>
      <c r="J35" s="1">
        <f>J36+J37+J38</f>
        <v>260</v>
      </c>
      <c r="K35" s="59"/>
      <c r="L35" s="1">
        <f>L36+L38</f>
        <v>3300</v>
      </c>
      <c r="M35" s="59">
        <f>M36+M37+M38</f>
        <v>866.6666666666667</v>
      </c>
      <c r="N35" s="59"/>
      <c r="O35" s="1">
        <f>O36+O38+O37</f>
        <v>15000</v>
      </c>
      <c r="P35" s="61"/>
    </row>
    <row r="36" spans="1:18" s="28" customFormat="1" ht="15">
      <c r="A36" s="28">
        <v>1</v>
      </c>
      <c r="B36" s="29" t="s">
        <v>55</v>
      </c>
      <c r="C36" s="30">
        <v>20</v>
      </c>
      <c r="D36" s="30">
        <v>100</v>
      </c>
      <c r="E36" s="23">
        <f>C36*D36</f>
        <v>2000</v>
      </c>
      <c r="F36" s="31">
        <v>20</v>
      </c>
      <c r="G36" s="30">
        <v>4</v>
      </c>
      <c r="H36" s="32">
        <f>F36/G36</f>
        <v>5</v>
      </c>
      <c r="I36" s="30">
        <f>F36/C36</f>
        <v>1</v>
      </c>
      <c r="J36" s="29">
        <f>NK/I36</f>
        <v>150</v>
      </c>
      <c r="K36" s="34">
        <f>E36*NK</f>
        <v>300000</v>
      </c>
      <c r="L36" s="29">
        <f>C36*NK</f>
        <v>3000</v>
      </c>
      <c r="M36" s="34">
        <f>N2K/I36</f>
        <v>500</v>
      </c>
      <c r="N36" s="34">
        <f>E36*N2K</f>
        <v>1000000</v>
      </c>
      <c r="O36" s="29">
        <f>C36*N2K</f>
        <v>10000</v>
      </c>
      <c r="P36" s="34">
        <f>F36*D36</f>
        <v>2000</v>
      </c>
      <c r="Q36" s="28">
        <f>'[1]В динамике'!K205/[1]!GTOM</f>
        <v>378.3846153846154</v>
      </c>
      <c r="R36" s="35">
        <f>P36-Q36</f>
        <v>1621.6153846153845</v>
      </c>
    </row>
    <row r="37" spans="1:18" s="28" customFormat="1" ht="15">
      <c r="A37" s="28">
        <v>1</v>
      </c>
      <c r="B37" s="29" t="s">
        <v>56</v>
      </c>
      <c r="C37" s="30">
        <v>8</v>
      </c>
      <c r="D37" s="30">
        <v>150</v>
      </c>
      <c r="E37" s="23">
        <f>C37*D37</f>
        <v>1200</v>
      </c>
      <c r="F37" s="31">
        <v>15</v>
      </c>
      <c r="G37" s="30">
        <v>4</v>
      </c>
      <c r="H37" s="32">
        <f>F37/G37</f>
        <v>3.75</v>
      </c>
      <c r="I37" s="30">
        <f>F37/C37</f>
        <v>1.875</v>
      </c>
      <c r="J37" s="29">
        <f>NK/I37</f>
        <v>80</v>
      </c>
      <c r="K37" s="34">
        <f>E37*NK</f>
        <v>180000</v>
      </c>
      <c r="L37" s="29">
        <f>C37*NK</f>
        <v>1200</v>
      </c>
      <c r="M37" s="34">
        <f>N2K/I37</f>
        <v>266.6666666666667</v>
      </c>
      <c r="N37" s="34">
        <f>E37*N2K</f>
        <v>600000</v>
      </c>
      <c r="O37" s="29">
        <f>C37*N2K</f>
        <v>4000</v>
      </c>
      <c r="P37" s="34">
        <f>F37*D37</f>
        <v>2250</v>
      </c>
      <c r="Q37" s="28">
        <f>Q36</f>
        <v>378.3846153846154</v>
      </c>
      <c r="R37" s="35">
        <f>P37-Q37</f>
        <v>1871.6153846153845</v>
      </c>
    </row>
    <row r="38" spans="1:18" s="28" customFormat="1" ht="15">
      <c r="A38" s="28">
        <v>1</v>
      </c>
      <c r="B38" s="29" t="s">
        <v>57</v>
      </c>
      <c r="C38" s="30">
        <v>2</v>
      </c>
      <c r="D38" s="30">
        <v>250</v>
      </c>
      <c r="E38" s="23">
        <f>C38*D38</f>
        <v>500</v>
      </c>
      <c r="F38" s="31">
        <v>10</v>
      </c>
      <c r="G38" s="30">
        <v>4</v>
      </c>
      <c r="H38" s="32">
        <f>F38/G38</f>
        <v>2.5</v>
      </c>
      <c r="I38" s="30">
        <f>F38/C38</f>
        <v>5</v>
      </c>
      <c r="J38" s="29">
        <f>NK/I38</f>
        <v>30</v>
      </c>
      <c r="K38" s="34">
        <f>E38*NK</f>
        <v>75000</v>
      </c>
      <c r="L38" s="29">
        <f>C38*NK</f>
        <v>300</v>
      </c>
      <c r="M38" s="34">
        <f>N2K/I38</f>
        <v>100</v>
      </c>
      <c r="N38" s="34">
        <f>E38*N2K</f>
        <v>250000</v>
      </c>
      <c r="O38" s="29">
        <f>C38*N2K</f>
        <v>1000</v>
      </c>
      <c r="P38" s="34">
        <f>F38*D38</f>
        <v>2500</v>
      </c>
      <c r="Q38" s="28">
        <f>Q36</f>
        <v>378.3846153846154</v>
      </c>
      <c r="R38" s="35">
        <f>P38-Q38</f>
        <v>2121.6153846153848</v>
      </c>
    </row>
    <row r="39" spans="1:16" s="36" customFormat="1" ht="15">
      <c r="A39" s="36">
        <v>1</v>
      </c>
      <c r="B39" s="37" t="s">
        <v>58</v>
      </c>
      <c r="C39" s="38">
        <f>C40</f>
        <v>30</v>
      </c>
      <c r="D39" s="38"/>
      <c r="E39" s="23"/>
      <c r="F39" s="39"/>
      <c r="G39" s="38"/>
      <c r="H39" s="40"/>
      <c r="I39" s="38"/>
      <c r="J39" s="37"/>
      <c r="K39" s="61"/>
      <c r="L39" s="37"/>
      <c r="M39" s="51">
        <f>M40</f>
        <v>576.9230769230769</v>
      </c>
      <c r="N39" s="61"/>
      <c r="O39" s="37">
        <f>O40</f>
        <v>15000</v>
      </c>
      <c r="P39" s="61"/>
    </row>
    <row r="40" spans="1:18" s="28" customFormat="1" ht="15">
      <c r="A40" s="28">
        <v>1</v>
      </c>
      <c r="B40" s="54" t="s">
        <v>59</v>
      </c>
      <c r="C40" s="62">
        <v>30</v>
      </c>
      <c r="D40" s="30">
        <v>40</v>
      </c>
      <c r="E40" s="23">
        <f>C40*D40</f>
        <v>1200</v>
      </c>
      <c r="F40" s="31">
        <v>26</v>
      </c>
      <c r="G40" s="30">
        <v>6</v>
      </c>
      <c r="H40" s="32">
        <f>F40/G40</f>
        <v>4.333333333333333</v>
      </c>
      <c r="I40" s="30">
        <f>F40/C40</f>
        <v>0.8666666666666667</v>
      </c>
      <c r="J40" s="29">
        <f>NK/I40</f>
        <v>173.07692307692307</v>
      </c>
      <c r="K40" s="34">
        <f>E40*NK</f>
        <v>180000</v>
      </c>
      <c r="L40" s="29">
        <f>C40*NK</f>
        <v>4500</v>
      </c>
      <c r="M40" s="33">
        <f>N2K/I40</f>
        <v>576.9230769230769</v>
      </c>
      <c r="N40" s="34">
        <f>E40*N2K</f>
        <v>600000</v>
      </c>
      <c r="O40" s="29">
        <f>C40*N2K</f>
        <v>15000</v>
      </c>
      <c r="P40" s="34">
        <f>F40*D40</f>
        <v>1040</v>
      </c>
      <c r="Q40" s="28">
        <f>Q38</f>
        <v>378.3846153846154</v>
      </c>
      <c r="R40" s="35">
        <f>P40-Q40</f>
        <v>661.6153846153845</v>
      </c>
    </row>
    <row r="41" spans="1:14" ht="15">
      <c r="A41" s="56"/>
      <c r="B41" s="56" t="s">
        <v>45</v>
      </c>
      <c r="C41" s="23">
        <f>C35+C39</f>
        <v>60</v>
      </c>
      <c r="D41" s="57"/>
      <c r="E41" s="23">
        <f>SUM(E36:E40)</f>
        <v>4900</v>
      </c>
      <c r="F41" s="58"/>
      <c r="K41" s="61">
        <f>SUM(K35:K40)</f>
        <v>735000</v>
      </c>
      <c r="N41" s="61">
        <f>SUM(N35:N40)</f>
        <v>2450000</v>
      </c>
    </row>
    <row r="42" spans="2:6" ht="15">
      <c r="B42" s="63"/>
      <c r="C42" s="57"/>
      <c r="D42" s="57"/>
      <c r="E42" s="57"/>
      <c r="F42" s="58"/>
    </row>
    <row r="43" spans="2:14" ht="15">
      <c r="B43" s="63"/>
      <c r="C43" s="57"/>
      <c r="D43" s="57"/>
      <c r="E43" s="57"/>
      <c r="F43" s="58"/>
      <c r="N43" s="64"/>
    </row>
    <row r="44" spans="2:14" ht="15">
      <c r="B44" s="12" t="s">
        <v>60</v>
      </c>
      <c r="C44" s="18" t="s">
        <v>7</v>
      </c>
      <c r="D44" s="18" t="s">
        <v>8</v>
      </c>
      <c r="E44" s="18" t="s">
        <v>9</v>
      </c>
      <c r="F44" s="65" t="s">
        <v>61</v>
      </c>
      <c r="G44" s="3" t="s">
        <v>62</v>
      </c>
      <c r="I44" s="3" t="s">
        <v>62</v>
      </c>
      <c r="J44" t="s">
        <v>51</v>
      </c>
      <c r="N44" s="64"/>
    </row>
    <row r="45" spans="1:16" ht="15">
      <c r="A45">
        <v>1</v>
      </c>
      <c r="B45" s="1" t="s">
        <v>63</v>
      </c>
      <c r="C45" s="2">
        <v>3</v>
      </c>
      <c r="D45" s="2">
        <v>150</v>
      </c>
      <c r="E45" s="2">
        <f>C45*D45</f>
        <v>450</v>
      </c>
      <c r="F45" s="24">
        <v>1.5</v>
      </c>
      <c r="G45" s="3">
        <f>C45*150</f>
        <v>450</v>
      </c>
      <c r="I45" s="3">
        <f>E45*150</f>
        <v>67500</v>
      </c>
      <c r="J45">
        <f>G45/F45</f>
        <v>300</v>
      </c>
      <c r="K45">
        <f aca="true" t="shared" si="4" ref="K45:K51">E45*150</f>
        <v>67500</v>
      </c>
      <c r="P45" s="7" t="e">
        <f aca="true" t="shared" si="5" ref="P45:P52">J45*NU</f>
        <v>#REF!</v>
      </c>
    </row>
    <row r="46" spans="1:16" ht="15">
      <c r="A46">
        <v>1</v>
      </c>
      <c r="B46" s="1" t="s">
        <v>64</v>
      </c>
      <c r="C46" s="2">
        <v>3</v>
      </c>
      <c r="D46" s="2">
        <v>150</v>
      </c>
      <c r="E46" s="2">
        <f>C46*D46</f>
        <v>450</v>
      </c>
      <c r="F46" s="24">
        <v>2</v>
      </c>
      <c r="G46" s="3">
        <f aca="true" t="shared" si="6" ref="G46:I51">C46*150</f>
        <v>450</v>
      </c>
      <c r="I46" s="3">
        <f t="shared" si="6"/>
        <v>67500</v>
      </c>
      <c r="J46">
        <f aca="true" t="shared" si="7" ref="J46:J51">G46/F46</f>
        <v>225</v>
      </c>
      <c r="K46">
        <f t="shared" si="4"/>
        <v>67500</v>
      </c>
      <c r="P46" s="7" t="e">
        <f t="shared" si="5"/>
        <v>#REF!</v>
      </c>
    </row>
    <row r="47" spans="1:16" ht="15">
      <c r="A47">
        <v>2</v>
      </c>
      <c r="B47" s="66" t="s">
        <v>65</v>
      </c>
      <c r="C47" s="2">
        <v>5</v>
      </c>
      <c r="D47" s="2">
        <v>180</v>
      </c>
      <c r="E47" s="2">
        <f>C47*D47</f>
        <v>900</v>
      </c>
      <c r="F47" s="24">
        <v>2</v>
      </c>
      <c r="G47" s="3">
        <f t="shared" si="6"/>
        <v>750</v>
      </c>
      <c r="I47" s="3">
        <f t="shared" si="6"/>
        <v>135000</v>
      </c>
      <c r="J47">
        <f t="shared" si="7"/>
        <v>375</v>
      </c>
      <c r="K47">
        <f t="shared" si="4"/>
        <v>135000</v>
      </c>
      <c r="P47" s="7" t="e">
        <f t="shared" si="5"/>
        <v>#REF!</v>
      </c>
    </row>
    <row r="48" spans="1:16" ht="15">
      <c r="A48">
        <v>1</v>
      </c>
      <c r="B48" s="66" t="s">
        <v>66</v>
      </c>
      <c r="C48" s="2">
        <v>1</v>
      </c>
      <c r="D48" s="2">
        <v>180</v>
      </c>
      <c r="E48" s="2">
        <f>C48*D48</f>
        <v>180</v>
      </c>
      <c r="F48" s="24">
        <v>1</v>
      </c>
      <c r="G48" s="3">
        <f t="shared" si="6"/>
        <v>150</v>
      </c>
      <c r="I48" s="3">
        <f t="shared" si="6"/>
        <v>27000</v>
      </c>
      <c r="J48">
        <f t="shared" si="7"/>
        <v>150</v>
      </c>
      <c r="K48">
        <f t="shared" si="4"/>
        <v>27000</v>
      </c>
      <c r="P48" s="7" t="e">
        <f t="shared" si="5"/>
        <v>#REF!</v>
      </c>
    </row>
    <row r="49" spans="1:16" ht="15">
      <c r="A49">
        <v>1</v>
      </c>
      <c r="B49" s="66" t="s">
        <v>67</v>
      </c>
      <c r="C49" s="2">
        <v>1</v>
      </c>
      <c r="D49" s="2">
        <v>180</v>
      </c>
      <c r="E49" s="2">
        <f>C49*D49</f>
        <v>180</v>
      </c>
      <c r="F49" s="24">
        <v>1</v>
      </c>
      <c r="G49" s="3">
        <f t="shared" si="6"/>
        <v>150</v>
      </c>
      <c r="I49" s="3">
        <f t="shared" si="6"/>
        <v>27000</v>
      </c>
      <c r="J49">
        <f t="shared" si="7"/>
        <v>150</v>
      </c>
      <c r="K49">
        <f t="shared" si="4"/>
        <v>27000</v>
      </c>
      <c r="P49" s="7" t="e">
        <f t="shared" si="5"/>
        <v>#REF!</v>
      </c>
    </row>
    <row r="50" spans="1:16" ht="15">
      <c r="A50">
        <v>1</v>
      </c>
      <c r="B50" s="66" t="s">
        <v>68</v>
      </c>
      <c r="C50" s="2">
        <v>3</v>
      </c>
      <c r="D50" s="2">
        <v>180</v>
      </c>
      <c r="E50" s="2">
        <f>C50*D50</f>
        <v>540</v>
      </c>
      <c r="F50" s="24">
        <v>2</v>
      </c>
      <c r="G50" s="3">
        <f t="shared" si="6"/>
        <v>450</v>
      </c>
      <c r="I50" s="3">
        <f t="shared" si="6"/>
        <v>81000</v>
      </c>
      <c r="J50">
        <f t="shared" si="7"/>
        <v>225</v>
      </c>
      <c r="K50">
        <f t="shared" si="4"/>
        <v>81000</v>
      </c>
      <c r="P50" s="7" t="e">
        <f t="shared" si="5"/>
        <v>#REF!</v>
      </c>
    </row>
    <row r="51" spans="1:16" ht="15">
      <c r="A51">
        <v>1</v>
      </c>
      <c r="B51" s="66" t="s">
        <v>69</v>
      </c>
      <c r="C51" s="2">
        <v>2</v>
      </c>
      <c r="D51" s="2">
        <v>180</v>
      </c>
      <c r="E51" s="2">
        <f>C51*D51</f>
        <v>360</v>
      </c>
      <c r="F51" s="24">
        <v>2</v>
      </c>
      <c r="G51" s="3">
        <f t="shared" si="6"/>
        <v>300</v>
      </c>
      <c r="I51" s="3">
        <f t="shared" si="6"/>
        <v>54000</v>
      </c>
      <c r="J51">
        <f t="shared" si="7"/>
        <v>150</v>
      </c>
      <c r="K51">
        <f t="shared" si="4"/>
        <v>54000</v>
      </c>
      <c r="P51" s="7" t="e">
        <f t="shared" si="5"/>
        <v>#REF!</v>
      </c>
    </row>
    <row r="52" spans="2:16" ht="15">
      <c r="B52" s="67"/>
      <c r="C52" s="57"/>
      <c r="D52" s="57"/>
      <c r="E52" s="2">
        <f>SUM(E45:E51)</f>
        <v>3060</v>
      </c>
      <c r="F52" s="58"/>
      <c r="K52">
        <f>SUM(K45:K51)</f>
        <v>459000</v>
      </c>
      <c r="P52" s="7" t="e">
        <f t="shared" si="5"/>
        <v>#REF!</v>
      </c>
    </row>
    <row r="53" spans="2:6" ht="15">
      <c r="B53" s="63"/>
      <c r="C53" s="57"/>
      <c r="D53" s="57"/>
      <c r="E53" s="57"/>
      <c r="F53" s="58"/>
    </row>
  </sheetData>
  <sheetProtection/>
  <mergeCells count="4">
    <mergeCell ref="J4:L4"/>
    <mergeCell ref="M4:O4"/>
    <mergeCell ref="J33:L33"/>
    <mergeCell ref="M33:O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Zavodskov</dc:creator>
  <cp:keywords/>
  <dc:description/>
  <cp:lastModifiedBy>Zavodskov</cp:lastModifiedBy>
  <dcterms:created xsi:type="dcterms:W3CDTF">2014-03-11T07:08:13Z</dcterms:created>
  <dcterms:modified xsi:type="dcterms:W3CDTF">2014-03-11T07:10:24Z</dcterms:modified>
  <cp:category/>
  <cp:version/>
  <cp:contentType/>
  <cp:contentStatus/>
</cp:coreProperties>
</file>